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8f68bd1f94b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M" sheetId="1" r:id="R3bd560ea4b2b4825"/>
    <x:sheet xmlns:r="http://schemas.openxmlformats.org/officeDocument/2006/relationships" name="Frame cuts" sheetId="2" r:id="R49786a382e984b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0"/>
    <x:numFmt numFmtId="202" formatCode="0.00"/>
  </x:numFmts>
  <x:fonts count="6">
    <x:font>
      <x:sz val="11"/>
      <x:name val="Carlito"/>
    </x:font>
    <x:font>
      <x:sz val="10"/>
      <x:color rgb="FF24352C"/>
      <x:name val="Arial"/>
    </x:font>
    <x:font>
      <x:b/>
      <x:sz val="15"/>
      <x:color rgb="FF24352C"/>
      <x:name val="Arial"/>
    </x:font>
    <x:font>
      <x:i/>
      <x:sz val="10"/>
      <x:color rgb="FF66796D"/>
      <x:name val="Arial"/>
    </x:font>
    <x:font>
      <x:b/>
      <x:sz val="10"/>
      <x:color rgb="FFFFFFFF"/>
      <x:name val="Arial"/>
    </x:font>
    <x:font>
      <x:b/>
      <x:sz val="12"/>
      <x:color rgb="FF24352C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4536"/>
      </x:patternFill>
    </x:fill>
    <x:fill>
      <x:patternFill patternType="solid">
        <x:fgColor rgb="FFFFF4D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/>
    <x:xf numFmtId="200" fontId="5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202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B24"/>
      </x:font>
      <x:fill>
        <x:patternFill patternType="solid">
          <x:bgColor rgb="FFFBE6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7ae2d4932c4fad" /><Relationship Type="http://schemas.openxmlformats.org/officeDocument/2006/relationships/theme" Target="/xl/theme/theme1.xml" Id="Rfa81061967b24649" /><Relationship Type="http://schemas.openxmlformats.org/officeDocument/2006/relationships/sharedStrings" Target="/xl/sharedStrings.xml" Id="R837b2a5c1dca4d0c" /><Relationship Type="http://schemas.openxmlformats.org/officeDocument/2006/relationships/worksheet" Target="/xl/worksheets/sheet1.xml" Id="R3bd560ea4b2b4825" /><Relationship Type="http://schemas.openxmlformats.org/officeDocument/2006/relationships/worksheet" Target="/xl/worksheets/sheet2.xml" Id="R49786a382e984bf2" /></Relationships>
</file>

<file path=xl/tables/table1.xml><?xml version="1.0" encoding="utf-8"?>
<x:table xmlns:x="http://schemas.openxmlformats.org/spreadsheetml/2006/main" id="1" name="FeederBOM" displayName="FeederBOM" ref="B11:Q93" headerRowCount="1" totalsRowCount="0" totalsRowShown="0">
  <x:tableColumns count="16">
    <x:tableColumn id="1" name="ID"/>
    <x:tableColumn id="2" name="System"/>
    <x:tableColumn id="3" name="Item"/>
    <x:tableColumn id="4" name="Required qty"/>
    <x:tableColumn id="5" name="Unit"/>
    <x:tableColumn id="6" name="Units per pack"/>
    <x:tableColumn id="7" name="Pack price USD"/>
    <x:tableColumn id="8" name="Buy packs"/>
    <x:tableColumn id="9" name="Extended USD"/>
    <x:tableColumn id="10" name="Prototype qty"/>
    <x:tableColumn id="11" name="Prototype packs"/>
    <x:tableColumn id="12" name="Prototype USD"/>
    <x:tableColumn id="13" name="Status"/>
    <x:tableColumn id="14" name="Purchase link"/>
    <x:tableColumn id="15" name="Spec reference"/>
    <x:tableColumn id="16" name="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da71d6339a34d34" /></Relationships>
</file>

<file path=xl/worksheets/sheet1.xml><?xml version="1.0" encoding="utf-8"?>
<x:worksheet xmlns:x="http://schemas.openxmlformats.org/spreadsheetml/2006/main">
  <x:sheetPr>
    <x:tabColor rgb="FF254536"/>
  </x:sheetPr>
  <x:sheetViews>
    <x:sheetView showGridLines="0" workbookViewId="0">
      <x:pane xSplit="4" ySplit="11" topLeftCell="E12" activePane="bottomRight" state="frozen"/>
    </x:sheetView>
  </x:sheetViews>
  <x:sheetFormatPr defaultRowHeight="15"/>
  <x:cols>
    <x:col min="2" max="2" width="6.670000076293945" hidden="0" customWidth="1"/>
    <x:col min="3" max="3" width="12.220000267028809" hidden="0" customWidth="1"/>
    <x:col min="4" max="4" width="37.220001220703125" hidden="0" customWidth="1"/>
    <x:col min="5" max="5" width="8.890000343322754" hidden="0" customWidth="1"/>
    <x:col min="6" max="6" width="12.220000267028809" hidden="0" customWidth="1"/>
    <x:col min="7" max="7" width="9.4399995803833" hidden="0" customWidth="1"/>
    <x:col min="8" max="8" width="10.5600004196167" hidden="0" customWidth="1"/>
    <x:col min="9" max="9" width="8.890000343322754" hidden="0" customWidth="1"/>
    <x:col min="10" max="10" width="12.220000267028809" hidden="0" customWidth="1"/>
    <x:col min="11" max="11" width="9.4399995803833" hidden="0" customWidth="1"/>
    <x:col min="12" max="12" width="9.4399995803833" hidden="0" customWidth="1"/>
    <x:col min="13" max="13" width="12.220000267028809" hidden="0" customWidth="1"/>
    <x:col min="14" max="14" width="13.329999923706055" hidden="0" customWidth="1"/>
    <x:col min="15" max="15" width="45.560001373291016" hidden="0" customWidth="1"/>
    <x:col min="16" max="16" width="45.560001373291016" hidden="0" customWidth="1"/>
    <x:col min="17" max="17" width="72.22000122070312" hidden="0" customWidth="1"/>
  </x:cols>
  <x:sheetData>
    <x:row r="2">
      <x:c r="B2" s="4" t="str">
        <x:v>Tortfeeder sourcing R1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B3" s="5" t="str">
        <x:v>14 October 2026. Quantities for14fresh trays. USD; taxes/freight excluded.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B5" s="1"/>
      <x:c r="C5" s="1"/>
      <x:c r="D5" s="1" t="str">
        <x:v>Priced subtotal only</x:v>
      </x:c>
      <x:c r="E5" s="14" t="n">
        <x:f>SUM(J12:J93)</x:f>
        <x:v>13660.299999999996</x:v>
      </x:c>
      <x:c r="F5" s="1"/>
      <x:c r="G5" s="1" t="str">
        <x:v>Unpriced line items</x:v>
      </x:c>
      <x:c r="H5" s="1"/>
      <x:c r="I5" s="1"/>
      <x:c r="J5" s="1" t="n">
        <x:f>COUNTBLANK(H12:H93)</x:f>
        <x:v>43</x:v>
      </x:c>
      <x:c r="K5" s="1"/>
      <x:c r="L5" s="1"/>
      <x:c r="M5" s="1"/>
      <x:c r="N5" s="1"/>
      <x:c r="O5" s="1"/>
      <x:c r="P5" s="1"/>
      <x:c r="Q5" s="1"/>
    </x:row>
    <x:row r="6">
      <x:c r="B6" s="1"/>
      <x:c r="C6" s="1"/>
      <x:c r="D6" s="1" t="str">
        <x:v>Single-tray priced subtotal</x:v>
      </x:c>
      <x:c r="E6" s="14" t="n">
        <x:f>SUM(M12:M93)</x:f>
        <x:v>1333.3200000000002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B8" s="1" t="str">
        <x:v>Open interfaces: tip motor mounting/torque, insulation and AC compatibility, food-contact tubing, lids and detailed wiring.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B9" s="1" t="str">
        <x:v>Amber prices are editable listing inputs. Blank price means unquoted; subtotal excludes it. Fabrication rows exclude raw stock counted separately.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 ht="32" customHeight="1">
      <x:c r="B11" s="8" t="str">
        <x:v>ID</x:v>
      </x:c>
      <x:c r="C11" s="8" t="str">
        <x:v>System</x:v>
      </x:c>
      <x:c r="D11" s="8" t="str">
        <x:v>Item</x:v>
      </x:c>
      <x:c r="E11" s="8" t="str">
        <x:v>Required qty</x:v>
      </x:c>
      <x:c r="F11" s="8" t="str">
        <x:v>Unit</x:v>
      </x:c>
      <x:c r="G11" s="8" t="str">
        <x:v>Units per pack</x:v>
      </x:c>
      <x:c r="H11" s="8" t="str">
        <x:v>Pack price USD</x:v>
      </x:c>
      <x:c r="I11" s="8" t="str">
        <x:v>Buy packs</x:v>
      </x:c>
      <x:c r="J11" s="8" t="str">
        <x:v>Extended USD</x:v>
      </x:c>
      <x:c r="K11" s="8" t="str">
        <x:v>Prototype qty</x:v>
      </x:c>
      <x:c r="L11" s="8" t="str">
        <x:v>Prototype packs</x:v>
      </x:c>
      <x:c r="M11" s="8" t="str">
        <x:v>Prototype USD</x:v>
      </x:c>
      <x:c r="N11" s="8" t="str">
        <x:v>Status</x:v>
      </x:c>
      <x:c r="O11" s="8" t="str">
        <x:v>Purchase link</x:v>
      </x:c>
      <x:c r="P11" s="8" t="str">
        <x:v>Spec reference</x:v>
      </x:c>
      <x:c r="Q11" s="8" t="str">
        <x:v>Notes</x:v>
      </x:c>
    </x:row>
    <x:row r="12" ht="64" customHeight="1">
      <x:c r="B12" s="2" t="str">
        <x:v>F01</x:v>
      </x:c>
      <x:c r="C12" s="2" t="str">
        <x:v>Frame</x:v>
      </x:c>
      <x:c r="D12" s="3" t="str">
        <x:v>6575N406 rail: 55 pieces / 56.62 m</x:v>
      </x:c>
      <x:c r="E12" s="12" t="n">
        <x:v>1</x:v>
      </x:c>
      <x:c r="F12" s="12" t="str">
        <x:v>cut list</x:v>
      </x:c>
      <x:c r="G12" s="12" t="n">
        <x:v>1</x:v>
      </x:c>
      <x:c r="H12" s="10" t="n">
        <x:v>2264.8</x:v>
      </x:c>
      <x:c r="I12" s="12" t="n">
        <x:f>ROUNDUP(E12/G12,0)</x:f>
        <x:v>1</x:v>
      </x:c>
      <x:c r="J12" s="11" t="n">
        <x:f>IF(H12="","",I12*H12)</x:f>
        <x:v>2264.8</x:v>
      </x:c>
      <x:c r="K12" s="12" t="n">
        <x:v>1</x:v>
      </x:c>
      <x:c r="L12" s="12" t="n">
        <x:f>ROUNDUP(K12/G12,0)</x:f>
        <x:v>1</x:v>
      </x:c>
      <x:c r="M12" s="11" t="n">
        <x:f>L12*300.8</x:f>
        <x:v>300.8</x:v>
      </x:c>
      <x:c r="N12" s="2" t="str">
        <x:v>Catalog selection</x:v>
      </x:c>
      <x:c r="O12" s="2" t="e">
        <x:f>HYPERLINK("https://www.mcmaster.com/6575N406/","https://www.mcmaster.com/6575N406/")</x:f>
        <x:v>HYPERLINK is not implemented. linkLocation=https://www.mcmaster.com/6575N406/, friendlyName=https://www.mcmaster.com/6575N406/</x:v>
      </x:c>
      <x:c r="P12" s="2" t="str">
        <x:v>40×40 mm; 8 mm slot; 2.5 mm cut increments</x:v>
      </x:c>
      <x:c r="Q12" s="3" t="str">
        <x:v>Full build:55 finished pieces at $0.40/cm for lengths ≥60 cm. Prototype:12 pieces,4×800+4×500+4×400 mm,6.8m; shorter cuts cost $0.48/cm, so prototype rail total is $300.80. Cut lengths await cooling/motor layout.</x:v>
      </x:c>
    </x:row>
    <x:row r="13" ht="64" customHeight="1">
      <x:c r="B13" s="2" t="str">
        <x:v>F02</x:v>
      </x:c>
      <x:c r="C13" s="2" t="str">
        <x:v>Frame</x:v>
      </x:c>
      <x:c r="D13" s="3" t="str">
        <x:v>5537T937 corner bracket with mounting hardware</x:v>
      </x:c>
      <x:c r="E13" s="12" t="n">
        <x:v>84</x:v>
      </x:c>
      <x:c r="F13" s="12" t="str">
        <x:v>each</x:v>
      </x:c>
      <x:c r="G13" s="12" t="n">
        <x:v>1</x:v>
      </x:c>
      <x:c r="H13" s="10" t="n">
        <x:v>7.06</x:v>
      </x:c>
      <x:c r="I13" s="12" t="n">
        <x:f>ROUNDUP(E13/G13,0)</x:f>
        <x:v>84</x:v>
      </x:c>
      <x:c r="J13" s="11" t="n">
        <x:f>IF(H13="","",I13*H13)</x:f>
        <x:v>593.04</x:v>
      </x:c>
      <x:c r="K13" s="12" t="n">
        <x:v>24</x:v>
      </x:c>
      <x:c r="L13" s="12" t="n">
        <x:f>ROUNDUP(K13/G13,0)</x:f>
        <x:v>24</x:v>
      </x:c>
      <x:c r="M13" s="11" t="n">
        <x:f>IF(H13="","",L13*H13)</x:f>
        <x:v>169.44</x:v>
      </x:c>
      <x:c r="N13" s="2" t="str">
        <x:v>Catalog selection</x:v>
      </x:c>
      <x:c r="O13" s="2" t="e">
        <x:f>HYPERLINK("https://www.mcmaster.com/5537T937/","https://www.mcmaster.com/5537T937/")</x:f>
        <x:v>HYPERLINK is not implemented. linkLocation=https://www.mcmaster.com/5537T937/, friendlyName=https://www.mcmaster.com/5537T937/</x:v>
      </x:c>
      <x:c r="P13" s="2" t="str"/>
      <x:c r="Q13" s="3" t="str">
        <x:v>Includes two M8×16 screw/nut fasteners per bracket. Do not add those again. 84 is model joint allowance; accessory brackets are separate.</x:v>
      </x:c>
    </x:row>
    <x:row r="14" ht="64" customHeight="1">
      <x:c r="B14" s="2" t="str">
        <x:v>F03</x:v>
      </x:c>
      <x:c r="C14" s="2" t="str">
        <x:v>Frame</x:v>
      </x:c>
      <x:c r="D14" s="3" t="str">
        <x:v>6000N207 M6 self-aligning drop-in T-slot nuts</x:v>
      </x:c>
      <x:c r="E14" s="12" t="n">
        <x:v>200</x:v>
      </x:c>
      <x:c r="F14" s="12" t="str">
        <x:v>each</x:v>
      </x:c>
      <x:c r="G14" s="12" t="n">
        <x:v>4</x:v>
      </x:c>
      <x:c r="H14" s="10" t="n">
        <x:v>5.49</x:v>
      </x:c>
      <x:c r="I14" s="12" t="n">
        <x:f>ROUNDUP(E14/G14,0)</x:f>
        <x:v>50</x:v>
      </x:c>
      <x:c r="J14" s="11" t="n">
        <x:f>IF(H14="","",I14*H14)</x:f>
        <x:v>274.5</x:v>
      </x:c>
      <x:c r="K14" s="12" t="n">
        <x:v>24</x:v>
      </x:c>
      <x:c r="L14" s="12" t="n">
        <x:f>ROUNDUP(K14/G14,0)</x:f>
        <x:v>6</x:v>
      </x:c>
      <x:c r="M14" s="11" t="n">
        <x:f>IF(H14="","",L14*H14)</x:f>
        <x:v>32.94</x:v>
      </x:c>
      <x:c r="N14" s="2" t="str">
        <x:v>Catalog selection</x:v>
      </x:c>
      <x:c r="O14" s="2" t="e">
        <x:f>HYPERLINK("https://www.mcmaster.com/6000N207/","https://www.mcmaster.com/6000N207/")</x:f>
        <x:v>HYPERLINK is not implemented. linkLocation=https://www.mcmaster.com/6000N207/, friendlyName=https://www.mcmaster.com/6000N207/</x:v>
      </x:c>
      <x:c r="P14" s="2" t="str">
        <x:v>4/pack; 30/40 mm single rails</x:v>
      </x:c>
      <x:c r="Q14" s="3" t="str">
        <x:v>Allowance for mounts/panels; final hole schedule pending. Correct T-slot family. Replaces incompatible locking-slot 6266N15.</x:v>
      </x:c>
    </x:row>
    <x:row r="15" ht="64" customHeight="1">
      <x:c r="B15" s="2" t="str">
        <x:v>F04</x:v>
      </x:c>
      <x:c r="C15" s="2" t="str">
        <x:v>Frame</x:v>
      </x:c>
      <x:c r="D15" s="3" t="str">
        <x:v>M6 stainless socket screws, washers, locking nuts</x:v>
      </x:c>
      <x:c r="E15" s="12" t="n">
        <x:v>200</x:v>
      </x:c>
      <x:c r="F15" s="12" t="str">
        <x:v>sets</x:v>
      </x:c>
      <x:c r="G15" s="12" t="n">
        <x:v>1</x:v>
      </x:c>
      <x:c r="H15" s="10"/>
      <x:c r="I15" s="12" t="n">
        <x:f>ROUNDUP(E15/G15,0)</x:f>
        <x:v>200</x:v>
      </x:c>
      <x:c r="J15" s="11" t="str">
        <x:f>IF(H15="","",I15*H15)</x:f>
      </x:c>
      <x:c r="K15" s="12" t="n">
        <x:v>24</x:v>
      </x:c>
      <x:c r="L15" s="12" t="n">
        <x:f>ROUNDUP(K15/G15,0)</x:f>
        <x:v>24</x:v>
      </x:c>
      <x:c r="M15" s="11" t="str">
        <x:f>IF(H15="","",L15*H15)</x:f>
      </x:c>
      <x:c r="N15" s="2" t="str">
        <x:v>Select exact size</x:v>
      </x:c>
      <x:c r="O15" s="2" t="e">
        <x:f>HYPERLINK("https://www.mcmaster.com/products/socket-head-screws/","https://www.mcmaster.com/products/socket-head-screws/")</x:f>
        <x:v>HYPERLINK is not implemented. linkLocation=https://www.mcmaster.com/products/socket-head-screws/, friendlyName=https://www.mcmaster.com/products/socket-head-screws/</x:v>
      </x:c>
      <x:c r="P15" s="2" t="str"/>
      <x:c r="Q15" s="3" t="str">
        <x:v>Choose length from actual acrylic/washer/bracket stack. M6×16 is starting stack candidate, not released screw schedule. Count excludes included F02 fasteners.</x:v>
      </x:c>
    </x:row>
    <x:row r="16" ht="64" customHeight="1">
      <x:c r="B16" s="2" t="str">
        <x:v>F05</x:v>
      </x:c>
      <x:c r="C16" s="2" t="str">
        <x:v>Frame</x:v>
      </x:c>
      <x:c r="D16" s="3" t="str">
        <x:v>Ground anchors and frame anchor brackets</x:v>
      </x:c>
      <x:c r="E16" s="12" t="n">
        <x:v>4</x:v>
      </x:c>
      <x:c r="F16" s="12" t="str">
        <x:v>sets</x:v>
      </x:c>
      <x:c r="G16" s="12" t="n">
        <x:v>1</x:v>
      </x:c>
      <x:c r="H16" s="10"/>
      <x:c r="I16" s="12" t="n">
        <x:f>ROUNDUP(E16/G16,0)</x:f>
        <x:v>4</x:v>
      </x:c>
      <x:c r="J16" s="11" t="str">
        <x:f>IF(H16="","",I16*H16)</x:f>
      </x:c>
      <x:c r="K16" s="12" t="n">
        <x:v>0</x:v>
      </x:c>
      <x:c r="L16" s="12" t="n">
        <x:f>ROUNDUP(K16/G16,0)</x:f>
        <x:v>0</x:v>
      </x:c>
      <x:c r="M16" s="11" t="str">
        <x:f>IF(H16="","",L16*H16)</x:f>
      </x:c>
      <x:c r="N16" s="2" t="str">
        <x:v>Select exact size</x:v>
      </x:c>
      <x:c r="O16" s="2" t="e">
        <x:f>HYPERLINK("https://www.mcmaster.com/products/anchors/","https://www.mcmaster.com/products/anchors/")</x:f>
        <x:v>HYPERLINK is not implemented. linkLocation=https://www.mcmaster.com/products/anchors/, friendlyName=https://www.mcmaster.com/products/anchors/</x:v>
      </x:c>
      <x:c r="P16" s="2" t="str"/>
      <x:c r="Q16" s="3" t="str">
        <x:v>Substrate-specific anchors and purchased metal brackets; acrylic is not the anchor load path. No wheels in baseline.</x:v>
      </x:c>
    </x:row>
    <x:row r="17" ht="64" customHeight="1">
      <x:c r="B17" s="2" t="str">
        <x:v>F06</x:v>
      </x:c>
      <x:c r="C17" s="2" t="str">
        <x:v>Frame</x:v>
      </x:c>
      <x:c r="D17" s="3" t="str">
        <x:v>Printed rail end caps and slot shields</x:v>
      </x:c>
      <x:c r="E17" s="12" t="n">
        <x:v>1</x:v>
      </x:c>
      <x:c r="F17" s="12" t="str">
        <x:v>lot</x:v>
      </x:c>
      <x:c r="G17" s="12" t="n">
        <x:v>1</x:v>
      </x:c>
      <x:c r="H17" s="10"/>
      <x:c r="I17" s="12" t="n">
        <x:f>ROUNDUP(E17/G17,0)</x:f>
        <x:v>1</x:v>
      </x:c>
      <x:c r="J17" s="11" t="str">
        <x:f>IF(H17="","",I17*H17)</x:f>
      </x:c>
      <x:c r="K17" s="12" t="n">
        <x:v>1</x:v>
      </x:c>
      <x:c r="L17" s="12" t="n">
        <x:f>ROUNDUP(K17/G17,0)</x:f>
        <x:v>1</x:v>
      </x:c>
      <x:c r="M17" s="11" t="str">
        <x:f>IF(H17="","",L17*H17)</x:f>
      </x:c>
      <x:c r="N17" s="2" t="str">
        <x:v>Fabricate</x:v>
      </x:c>
      <x:c r="O17" s="2" t="e">
        <x:f>HYPERLINK("/Users/raamasrivatsan/Desktop/coding projects/tortfeeder/fabrication/printed-parts.scad","/Users/raamasrivatsan/Desktop/coding projects/tortfeeder/fabrication/printed-parts.scad")</x:f>
        <x:v>HYPERLINK is not implemented. linkLocation=/Users/raamasrivatsan/Desktop/coding projects/tortfeeder/fabrication/printed-parts.scad, friendlyName=/Users/raamasrivatsan/Desktop/coding projects/tortfeeder/fabrication/printed-parts.scad</x:v>
      </x:c>
      <x:c r="P17" s="2" t="str"/>
      <x:c r="Q17" s="3" t="str">
        <x:v>Cut-piece ends and exposed food-zone slots. Existing SCAD is only a partial prototype library; cap geometry remains to draw.</x:v>
      </x:c>
    </x:row>
    <x:row r="18" ht="64" customHeight="1">
      <x:c r="B18" s="2" t="str">
        <x:v>M01</x:v>
      </x:c>
      <x:c r="C18" s="2" t="str">
        <x:v>Fresh trays</x:v>
      </x:c>
      <x:c r="D18" s="3" t="str">
        <x:v>Winco SPJP-204 half-size stainless pan</x:v>
      </x:c>
      <x:c r="E18" s="12" t="n">
        <x:v>14</x:v>
      </x:c>
      <x:c r="F18" s="12" t="str">
        <x:v>each</x:v>
      </x:c>
      <x:c r="G18" s="12" t="n">
        <x:v>1</x:v>
      </x:c>
      <x:c r="H18" s="10" t="n">
        <x:v>23.63</x:v>
      </x:c>
      <x:c r="I18" s="12" t="n">
        <x:f>ROUNDUP(E18/G18,0)</x:f>
        <x:v>14</x:v>
      </x:c>
      <x:c r="J18" s="11" t="n">
        <x:f>IF(H18="","",I18*H18)</x:f>
        <x:v>330.82</x:v>
      </x:c>
      <x:c r="K18" s="12" t="n">
        <x:v>1</x:v>
      </x:c>
      <x:c r="L18" s="12" t="n">
        <x:f>ROUNDUP(K18/G18,0)</x:f>
        <x:v>1</x:v>
      </x:c>
      <x:c r="M18" s="11" t="n">
        <x:f>IF(H18="","",L18*H18)</x:f>
        <x:v>23.63</x:v>
      </x:c>
      <x:c r="N18" s="2" t="str">
        <x:v>Prototype first</x:v>
      </x:c>
      <x:c r="O18" s="2" t="e">
        <x:f>HYPERLINK("https://www.amazon.com/dp/B00JCYTFW4","https://www.amazon.com/dp/B00JCYTFW4")</x:f>
        <x:v>HYPERLINK is not implemented. linkLocation=https://www.amazon.com/dp/B00JCYTFW4, friendlyName=https://www.amazon.com/dp/B00JCYTFW4</x:v>
      </x:c>
      <x:c r="P18" s="2" t="e">
        <x:f>HYPERLINK("https://www.wincous.com/products/spjp-204","https://www.wincous.com/products/spjp-204")</x:f>
        <x:v>HYPERLINK is not implemented. linkLocation=https://www.wincous.com/products/spjp-204, friendlyName=https://www.wincous.com/products/spjp-204</x:v>
      </x:c>
      <x:c r="Q18" s="3" t="str">
        <x:v>Exterior 327.2×265.2×101.6 mm fits 340×400×110 tray envelope with cradle tolerance still to check. Actual tare required. Do not use bounding-box litres as food capacity.</x:v>
      </x:c>
    </x:row>
    <x:row r="19" ht="64" customHeight="1">
      <x:c r="B19" s="2" t="str">
        <x:v>M02</x:v>
      </x:c>
      <x:c r="C19" s="2" t="str">
        <x:v>Fresh trays</x:v>
      </x:c>
      <x:c r="D19" s="3" t="str">
        <x:v>ReliaBot stainless MGN12 800 mm rail + MGN12H block</x:v>
      </x:c>
      <x:c r="E19" s="12" t="n">
        <x:v>28</x:v>
      </x:c>
      <x:c r="F19" s="12" t="str">
        <x:v>sets</x:v>
      </x:c>
      <x:c r="G19" s="12" t="n">
        <x:v>1</x:v>
      </x:c>
      <x:c r="H19" s="10" t="n">
        <x:v>59.99</x:v>
      </x:c>
      <x:c r="I19" s="12" t="n">
        <x:f>ROUNDUP(E19/G19,0)</x:f>
        <x:v>28</x:v>
      </x:c>
      <x:c r="J19" s="11" t="n">
        <x:f>IF(H19="","",I19*H19)</x:f>
        <x:v>1679.72</x:v>
      </x:c>
      <x:c r="K19" s="12" t="n">
        <x:v>2</x:v>
      </x:c>
      <x:c r="L19" s="12" t="n">
        <x:f>ROUNDUP(K19/G19,0)</x:f>
        <x:v>2</x:v>
      </x:c>
      <x:c r="M19" s="11" t="n">
        <x:f>IF(H19="","",L19*H19)</x:f>
        <x:v>119.98</x:v>
      </x:c>
      <x:c r="N19" s="2" t="str">
        <x:v>Prototype first</x:v>
      </x:c>
      <x:c r="O19" s="2" t="e">
        <x:f>HYPERLINK("https://www.amazon.com/dp/B0FLDM98J8","https://www.amazon.com/dp/B0FLDM98J8")</x:f>
        <x:v>HYPERLINK is not implemented. linkLocation=https://www.amazon.com/dp/B0FLDM98J8, friendlyName=https://www.amazon.com/dp/B0FLDM98J8</x:v>
      </x:c>
      <x:c r="P19" s="2" t="str"/>
      <x:c r="Q19" s="3" t="str">
        <x:v>Two guides/tray. Seller block dimensions and mounting drawing required; model uses HIWIN reference 45.4×27×13 mm. Wet-condensation corrosion trial required.</x:v>
      </x:c>
    </x:row>
    <x:row r="20" ht="64" customHeight="1">
      <x:c r="B20" s="2" t="str">
        <x:v>M03</x:v>
      </x:c>
      <x:c r="C20" s="2" t="str">
        <x:v>Fresh trays</x:v>
      </x:c>
      <x:c r="D20" s="3" t="str">
        <x:v>STEPPERONLINE 17HS19-2004S1 slide motor</x:v>
      </x:c>
      <x:c r="E20" s="12" t="n">
        <x:v>14</x:v>
      </x:c>
      <x:c r="F20" s="12" t="str">
        <x:v>each</x:v>
      </x:c>
      <x:c r="G20" s="12" t="n">
        <x:v>1</x:v>
      </x:c>
      <x:c r="H20" s="10" t="n">
        <x:v>14.99</x:v>
      </x:c>
      <x:c r="I20" s="12" t="n">
        <x:f>ROUNDUP(E20/G20,0)</x:f>
        <x:v>14</x:v>
      </x:c>
      <x:c r="J20" s="11" t="n">
        <x:f>IF(H20="","",I20*H20)</x:f>
        <x:v>209.86</x:v>
      </x:c>
      <x:c r="K20" s="12" t="n">
        <x:v>1</x:v>
      </x:c>
      <x:c r="L20" s="12" t="n">
        <x:f>ROUNDUP(K20/G20,0)</x:f>
        <x:v>1</x:v>
      </x:c>
      <x:c r="M20" s="11" t="n">
        <x:f>IF(H20="","",L20*H20)</x:f>
        <x:v>14.99</x:v>
      </x:c>
      <x:c r="N20" s="2" t="str">
        <x:v>Prototype first</x:v>
      </x:c>
      <x:c r="O20" s="2" t="e">
        <x:f>HYPERLINK("https://www.amazon.com/dp/B00PNEQKC0","https://www.amazon.com/dp/B00PNEQKC0")</x:f>
        <x:v>HYPERLINK is not implemented. linkLocation=https://www.amazon.com/dp/B00PNEQKC0, friendlyName=https://www.amazon.com/dp/B00PNEQKC0</x:v>
      </x:c>
      <x:c r="P20" s="2" t="e">
        <x:f>HYPERLINK("https://www.omc-stepperonline.com/download/17HS19-2004S1.pdf","https://www.omc-stepperonline.com/download/17HS19-2004S1.pdf")</x:f>
        <x:v>HYPERLINK is not implemented. linkLocation=https://www.omc-stepperonline.com/download/17HS19-2004S1.pdf, friendlyName=https://www.omc-stepperonline.com/download/17HS19-2004S1.pdf</x:v>
      </x:c>
      <x:c r="Q20" s="3" t="str">
        <x:v>42×42×48 mm,5 mm shaft,2A/phase,0.59 N·m HOLDING. Running design allowance 0.20 N·m is an assumption; bench test at 15 mm/s.</x:v>
      </x:c>
    </x:row>
    <x:row r="21" ht="64" customHeight="1">
      <x:c r="B21" s="2" t="str">
        <x:v>M04</x:v>
      </x:c>
      <x:c r="C21" s="2" t="str">
        <x:v>Tip drives</x:v>
      </x:c>
      <x:c r="D21" s="3" t="str">
        <x:v>STEPPERONLINE 23HS22-2804S-PG15 geared motor</x:v>
      </x:c>
      <x:c r="E21" s="12" t="n">
        <x:v>15</x:v>
      </x:c>
      <x:c r="F21" s="12" t="str">
        <x:v>each</x:v>
      </x:c>
      <x:c r="G21" s="12" t="n">
        <x:v>1</x:v>
      </x:c>
      <x:c r="H21" s="10" t="n">
        <x:v>72.99</x:v>
      </x:c>
      <x:c r="I21" s="12" t="n">
        <x:f>ROUNDUP(E21/G21,0)</x:f>
        <x:v>15</x:v>
      </x:c>
      <x:c r="J21" s="11" t="n">
        <x:f>IF(H21="","",I21*H21)</x:f>
        <x:v>1094.85</x:v>
      </x:c>
      <x:c r="K21" s="12" t="n">
        <x:v>1</x:v>
      </x:c>
      <x:c r="L21" s="12" t="n">
        <x:f>ROUNDUP(K21/G21,0)</x:f>
        <x:v>1</x:v>
      </x:c>
      <x:c r="M21" s="11" t="n">
        <x:f>IF(H21="","",L21*H21)</x:f>
        <x:v>72.99</x:v>
      </x:c>
      <x:c r="N21" s="2" t="str">
        <x:v>Prototype first</x:v>
      </x:c>
      <x:c r="O21" s="2" t="e">
        <x:f>HYPERLINK("https://www.amazon.com/dp/B00WAV0N5E","https://www.amazon.com/dp/B00WAV0N5E")</x:f>
        <x:v>HYPERLINK is not implemented. linkLocation=https://www.amazon.com/dp/B00WAV0N5E, friendlyName=https://www.amazon.com/dp/B00WAV0N5E</x:v>
      </x:c>
      <x:c r="P21" s="2" t="e">
        <x:f>HYPERLINK("https://www.omc-stepperonline.com/nema-23-stepper-motor-bipolar-l-56mm-w-gear-ratio-15-1-planetary-gearbox-23hs22-2804s-pg15","https://www.omc-stepperonline.com/nema-23-stepper-motor-bipolar-l-56mm-w-gear-ratio-15-1-planetary-gearbox-23hs22-2804s-pg15")</x:f>
        <x:v>HYPERLINK is not implemented. linkLocation=https://www.omc-stepperonline.com/nema-23-stepper-motor-bipolar-l-56mm-w-gear-ratio-15-1-planetary-gearbox-23hs22-2804s-pg15, friendlyName=https://www.omc-stepperonline.com/nema-23-stepper-motor-bipolar-l-56mm-w-gear-ratio-15-1-planetary-gearbox-23hs22-2804s-pg15</x:v>
      </x:c>
      <x:c r="Q21" s="3" t="str">
        <x:v>14 tray tips +1 soak pan. 57×57×116 mm body,12 mm output,15.3:1,2.8A/phase, ~1.5 kg. Gearbox 30 N·m permissible is NOT running torque. Require ≥8 N·m measured at ≈4.2outputrpm for conservative revised load. Motor body/mount not integrated into 55 mm service bay.</x:v>
      </x:c>
    </x:row>
    <x:row r="22" ht="64" customHeight="1">
      <x:c r="B22" s="2" t="str">
        <x:v>M05</x:v>
      </x:c>
      <x:c r="C22" s="2" t="str">
        <x:v>Fresh trays</x:v>
      </x:c>
      <x:c r="D22" s="3" t="str">
        <x:v>Zeelo GT2 6 mm belt kit,5 m +8 pulleys</x:v>
      </x:c>
      <x:c r="E22" s="12" t="n">
        <x:v>30</x:v>
      </x:c>
      <x:c r="F22" s="12" t="str">
        <x:v>m belt</x:v>
      </x:c>
      <x:c r="G22" s="12" t="n">
        <x:v>5</x:v>
      </x:c>
      <x:c r="H22" s="10" t="n">
        <x:v>13.99</x:v>
      </x:c>
      <x:c r="I22" s="12" t="n">
        <x:f>ROUNDUP(E22/G22,0)</x:f>
        <x:v>6</x:v>
      </x:c>
      <x:c r="J22" s="11" t="n">
        <x:f>IF(H22="","",I22*H22)</x:f>
        <x:v>83.94</x:v>
      </x:c>
      <x:c r="K22" s="15" t="n">
        <x:v>1.8</x:v>
      </x:c>
      <x:c r="L22" s="12" t="n">
        <x:f>ROUNDUP(K22/G22,0)</x:f>
        <x:v>1</x:v>
      </x:c>
      <x:c r="M22" s="11" t="n">
        <x:f>IF(H22="","",L22*H22)</x:f>
        <x:v>13.99</x:v>
      </x:c>
      <x:c r="N22" s="2" t="str">
        <x:v>Prototype first</x:v>
      </x:c>
      <x:c r="O22" s="2" t="e">
        <x:f>HYPERLINK("https://www.amazon.com/dp/B07XG9JN5B","https://www.amazon.com/dp/B07XG9JN5B")</x:f>
        <x:v>HYPERLINK is not implemented. linkLocation=https://www.amazon.com/dp/B07XG9JN5B, friendlyName=https://www.amazon.com/dp/B07XG9JN5B</x:v>
      </x:c>
      <x:c r="P22" s="2" t="str"/>
      <x:c r="Q22" s="3" t="str">
        <x:v>6 kits gives 30m belt and 48 pulleys. Need 14 pulleys of 20T×5 mm bore; verify exact kit variation. ~1.8m/tray +4.8m spare. Do not also order a separate full pulley lot.</x:v>
      </x:c>
    </x:row>
    <x:row r="23" ht="64" customHeight="1">
      <x:c r="B23" s="2" t="str">
        <x:v>M06</x:v>
      </x:c>
      <x:c r="C23" s="2" t="str">
        <x:v>Fresh trays</x:v>
      </x:c>
      <x:c r="D23" s="3" t="str">
        <x:v>WINSINN GT2 20T 5 mm idler5-pack</x:v>
      </x:c>
      <x:c r="E23" s="12" t="n">
        <x:v>14</x:v>
      </x:c>
      <x:c r="F23" s="12" t="str">
        <x:v>each</x:v>
      </x:c>
      <x:c r="G23" s="12" t="n">
        <x:v>5</x:v>
      </x:c>
      <x:c r="H23" s="10" t="n">
        <x:v>8.99</x:v>
      </x:c>
      <x:c r="I23" s="12" t="n">
        <x:f>ROUNDUP(E23/G23,0)</x:f>
        <x:v>3</x:v>
      </x:c>
      <x:c r="J23" s="11" t="n">
        <x:f>IF(H23="","",I23*H23)</x:f>
        <x:v>26.97</x:v>
      </x:c>
      <x:c r="K23" s="12" t="n">
        <x:v>1</x:v>
      </x:c>
      <x:c r="L23" s="12" t="n">
        <x:f>ROUNDUP(K23/G23,0)</x:f>
        <x:v>1</x:v>
      </x:c>
      <x:c r="M23" s="11" t="n">
        <x:f>IF(H23="","",L23*H23)</x:f>
        <x:v>8.99</x:v>
      </x:c>
      <x:c r="N23" s="2" t="str">
        <x:v>Prototype first</x:v>
      </x:c>
      <x:c r="O23" s="2" t="e">
        <x:f>HYPERLINK("https://www.amazon.com/dp/B07BPGYX3G","https://www.amazon.com/dp/B07BPGYX3G")</x:f>
        <x:v>HYPERLINK is not implemented. linkLocation=https://www.amazon.com/dp/B07BPGYX3G, friendlyName=https://www.amazon.com/dp/B07BPGYX3G</x:v>
      </x:c>
      <x:c r="P23" s="2" t="str"/>
      <x:c r="Q23" s="3" t="str">
        <x:v>3 packs supplies 15. Mount on purchased 5 mm shoulder bolts; verify bearing bore/shoulder engagement.</x:v>
      </x:c>
    </x:row>
    <x:row r="24" ht="64" customHeight="1">
      <x:c r="B24" s="2" t="str">
        <x:v>M07</x:v>
      </x:c>
      <x:c r="C24" s="2" t="str">
        <x:v>Pivots</x:v>
      </x:c>
      <x:c r="D24" s="3" t="str">
        <x:v>608-2RS stainless bearings10-pack</x:v>
      </x:c>
      <x:c r="E24" s="12" t="n">
        <x:v>30</x:v>
      </x:c>
      <x:c r="F24" s="12" t="str">
        <x:v>each</x:v>
      </x:c>
      <x:c r="G24" s="12" t="n">
        <x:v>10</x:v>
      </x:c>
      <x:c r="H24" s="10" t="n">
        <x:v>9.99</x:v>
      </x:c>
      <x:c r="I24" s="12" t="n">
        <x:f>ROUNDUP(E24/G24,0)</x:f>
        <x:v>3</x:v>
      </x:c>
      <x:c r="J24" s="11" t="n">
        <x:f>IF(H24="","",I24*H24)</x:f>
        <x:v>29.97</x:v>
      </x:c>
      <x:c r="K24" s="12" t="n">
        <x:v>2</x:v>
      </x:c>
      <x:c r="L24" s="12" t="n">
        <x:f>ROUNDUP(K24/G24,0)</x:f>
        <x:v>1</x:v>
      </x:c>
      <x:c r="M24" s="11" t="n">
        <x:f>IF(H24="","",L24*H24)</x:f>
        <x:v>9.99</x:v>
      </x:c>
      <x:c r="N24" s="2" t="str">
        <x:v>Prototype first</x:v>
      </x:c>
      <x:c r="O24" s="2" t="e">
        <x:f>HYPERLINK("https://www.amazon.com/dp/B0D3B6QGDC","https://www.amazon.com/dp/B0D3B6QGDC")</x:f>
        <x:v>HYPERLINK is not implemented. linkLocation=https://www.amazon.com/dp/B0D3B6QGDC, friendlyName=https://www.amazon.com/dp/B0D3B6QGDC</x:v>
      </x:c>
      <x:c r="P24" s="2" t="str"/>
      <x:c r="Q24" s="3" t="str">
        <x:v>2/pivot×15. 8×22×7 mm. Listing 440C claim; check received bearing quality, press fit, shielding and condensation.</x:v>
      </x:c>
    </x:row>
    <x:row r="25" ht="64" customHeight="1">
      <x:c r="B25" s="2" t="str">
        <x:v>M08</x:v>
      </x:c>
      <x:c r="C25" s="2" t="str">
        <x:v>Pivots</x:v>
      </x:c>
      <x:c r="D25" s="3" t="str">
        <x:v>8 mm ×400 mm304 stainless rods16-pack</x:v>
      </x:c>
      <x:c r="E25" s="12" t="n">
        <x:v>15</x:v>
      </x:c>
      <x:c r="F25" s="12" t="str">
        <x:v>each</x:v>
      </x:c>
      <x:c r="G25" s="12" t="n">
        <x:v>16</x:v>
      </x:c>
      <x:c r="H25" s="10" t="n">
        <x:v>49.49</x:v>
      </x:c>
      <x:c r="I25" s="12" t="n">
        <x:f>ROUNDUP(E25/G25,0)</x:f>
        <x:v>1</x:v>
      </x:c>
      <x:c r="J25" s="11" t="n">
        <x:f>IF(H25="","",I25*H25)</x:f>
        <x:v>49.49</x:v>
      </x:c>
      <x:c r="K25" s="12" t="n">
        <x:v>1</x:v>
      </x:c>
      <x:c r="L25" s="12" t="n">
        <x:f>ROUNDUP(K25/G25,0)</x:f>
        <x:v>1</x:v>
      </x:c>
      <x:c r="M25" s="11" t="n">
        <x:f>IF(H25="","",L25*H25)</x:f>
        <x:v>49.49</x:v>
      </x:c>
      <x:c r="N25" s="2" t="str">
        <x:v>Prototype first</x:v>
      </x:c>
      <x:c r="O25" s="2" t="e">
        <x:f>HYPERLINK("https://www.amazon.com/dp/B0FB3YDVM7","https://www.amazon.com/dp/B0FB3YDVM7")</x:f>
        <x:v>HYPERLINK is not implemented. linkLocation=https://www.amazon.com/dp/B0FB3YDVM7, friendlyName=https://www.amazon.com/dp/B0FB3YDVM7</x:v>
      </x:c>
      <x:c r="P25" s="2" t="str"/>
      <x:c r="Q25" s="3" t="str">
        <x:v>Craft rod tolerance not confirmed for 608 fit. Prototype candidate only; substitute precision 8 mm purchased shaft if out of tolerance. Final shaft length depends on pan orientation, coupler and bearing locations. No custom metal turning.</x:v>
      </x:c>
    </x:row>
    <x:row r="26" ht="64" customHeight="1">
      <x:c r="B26" s="2" t="str">
        <x:v>M09</x:v>
      </x:c>
      <x:c r="C26" s="2" t="str">
        <x:v>Pivots</x:v>
      </x:c>
      <x:c r="D26" s="3" t="str">
        <x:v>8 mm split shaft collars6-pack</x:v>
      </x:c>
      <x:c r="E26" s="12" t="n">
        <x:v>30</x:v>
      </x:c>
      <x:c r="F26" s="12" t="str">
        <x:v>each</x:v>
      </x:c>
      <x:c r="G26" s="12" t="n">
        <x:v>6</x:v>
      </x:c>
      <x:c r="H26" s="10" t="n">
        <x:v>9.39</x:v>
      </x:c>
      <x:c r="I26" s="12" t="n">
        <x:f>ROUNDUP(E26/G26,0)</x:f>
        <x:v>5</x:v>
      </x:c>
      <x:c r="J26" s="11" t="n">
        <x:f>IF(H26="","",I26*H26)</x:f>
        <x:v>46.95</x:v>
      </x:c>
      <x:c r="K26" s="12" t="n">
        <x:v>2</x:v>
      </x:c>
      <x:c r="L26" s="12" t="n">
        <x:f>ROUNDUP(K26/G26,0)</x:f>
        <x:v>1</x:v>
      </x:c>
      <x:c r="M26" s="11" t="n">
        <x:f>IF(H26="","",L26*H26)</x:f>
        <x:v>9.39</x:v>
      </x:c>
      <x:c r="N26" s="2" t="str">
        <x:v>Prototype first</x:v>
      </x:c>
      <x:c r="O26" s="2" t="e">
        <x:f>HYPERLINK("https://www.amazon.com/dp/B0FGX7KR9T","https://www.amazon.com/dp/B0FGX7KR9T")</x:f>
        <x:v>HYPERLINK is not implemented. linkLocation=https://www.amazon.com/dp/B0FGX7KR9T, friendlyName=https://www.amazon.com/dp/B0FGX7KR9T</x:v>
      </x:c>
      <x:c r="P26" s="2" t="str"/>
      <x:c r="Q26" s="3" t="str">
        <x:v>Two/pivot;5 packs 30. Keep collars/bearing grease outside food path.</x:v>
      </x:c>
    </x:row>
    <x:row r="27" ht="64" customHeight="1">
      <x:c r="B27" s="2" t="str">
        <x:v>M10</x:v>
      </x:c>
      <x:c r="C27" s="2" t="str">
        <x:v>Pivots</x:v>
      </x:c>
      <x:c r="D27" s="3" t="str">
        <x:v>8 mm to12 mm rigid clamp coupler2-pack</x:v>
      </x:c>
      <x:c r="E27" s="12" t="n">
        <x:v>15</x:v>
      </x:c>
      <x:c r="F27" s="12" t="str">
        <x:v>each</x:v>
      </x:c>
      <x:c r="G27" s="12" t="n">
        <x:v>2</x:v>
      </x:c>
      <x:c r="H27" s="10" t="n">
        <x:v>13.7</x:v>
      </x:c>
      <x:c r="I27" s="12" t="n">
        <x:f>ROUNDUP(E27/G27,0)</x:f>
        <x:v>8</x:v>
      </x:c>
      <x:c r="J27" s="11" t="n">
        <x:f>IF(H27="","",I27*H27)</x:f>
        <x:v>109.6</x:v>
      </x:c>
      <x:c r="K27" s="12" t="n">
        <x:v>1</x:v>
      </x:c>
      <x:c r="L27" s="12" t="n">
        <x:f>ROUNDUP(K27/G27,0)</x:f>
        <x:v>1</x:v>
      </x:c>
      <x:c r="M27" s="11" t="n">
        <x:f>IF(H27="","",L27*H27)</x:f>
        <x:v>13.7</x:v>
      </x:c>
      <x:c r="N27" s="2" t="str">
        <x:v>Prototype first</x:v>
      </x:c>
      <x:c r="O27" s="2" t="e">
        <x:f>HYPERLINK("https://www.amazon.com/dp/B0DJ6Q53LJ","https://www.amazon.com/dp/B0DJ6Q53LJ")</x:f>
        <x:v>HYPERLINK is not implemented. linkLocation=https://www.amazon.com/dp/B0DJ6Q53LJ, friendlyName=https://www.amazon.com/dp/B0DJ6Q53LJ</x:v>
      </x:c>
      <x:c r="P27" s="2" t="str"/>
      <x:c r="Q27" s="3" t="str">
        <x:v>8 packs 16. Supplier torque rating and keyway/clamp engagement remain unverified. Do not cut motor shaft or assume a set screw alone carries the tray.</x:v>
      </x:c>
    </x:row>
    <x:row r="28" ht="64" customHeight="1">
      <x:c r="B28" s="2" t="str">
        <x:v>M11</x:v>
      </x:c>
      <x:c r="C28" s="2" t="str">
        <x:v>Fresh trays</x:v>
      </x:c>
      <x:c r="D28" s="3" t="str">
        <x:v>Printed pan cradles, bearing carriers and belt clamps</x:v>
      </x:c>
      <x:c r="E28" s="12" t="n">
        <x:v>14</x:v>
      </x:c>
      <x:c r="F28" s="12" t="str">
        <x:v>sets</x:v>
      </x:c>
      <x:c r="G28" s="12" t="n">
        <x:v>1</x:v>
      </x:c>
      <x:c r="H28" s="10"/>
      <x:c r="I28" s="12" t="n">
        <x:f>ROUNDUP(E28/G28,0)</x:f>
        <x:v>14</x:v>
      </x:c>
      <x:c r="J28" s="11" t="str">
        <x:f>IF(H28="","",I28*H28)</x:f>
      </x:c>
      <x:c r="K28" s="12" t="n">
        <x:v>1</x:v>
      </x:c>
      <x:c r="L28" s="12" t="n">
        <x:f>ROUNDUP(K28/G28,0)</x:f>
        <x:v>1</x:v>
      </x:c>
      <x:c r="M28" s="11" t="str">
        <x:f>IF(H28="","",L28*H28)</x:f>
      </x:c>
      <x:c r="N28" s="2" t="str">
        <x:v>Fabricate</x:v>
      </x:c>
      <x:c r="O28" s="2" t="e">
        <x:f>HYPERLINK("/Users/raamasrivatsan/Desktop/coding projects/tortfeeder/fabrication/printed-parts.scad","/Users/raamasrivatsan/Desktop/coding projects/tortfeeder/fabrication/printed-parts.scad")</x:f>
        <x:v>HYPERLINK is not implemented. linkLocation=/Users/raamasrivatsan/Desktop/coding projects/tortfeeder/fabrication/printed-parts.scad, friendlyName=/Users/raamasrivatsan/Desktop/coding projects/tortfeeder/fabrication/printed-parts.scad</x:v>
      </x:c>
      <x:c r="P28" s="2" t="str"/>
      <x:c r="Q28" s="3" t="str">
        <x:v>Existing SCAD contains carrier/clamp/cradle-corner prototypes only. Full cradles, motor mounts, covers and positive resting supports need CAD and cold load testing.</x:v>
      </x:c>
    </x:row>
    <x:row r="29" ht="64" customHeight="1">
      <x:c r="B29" s="2" t="str">
        <x:v>M12</x:v>
      </x:c>
      <x:c r="C29" s="2" t="str">
        <x:v>Fresh trays</x:v>
      </x:c>
      <x:c r="D29" s="3" t="str">
        <x:v>6.35 mm acrylic carriage and guide-adapter parts</x:v>
      </x:c>
      <x:c r="E29" s="12" t="n">
        <x:v>14</x:v>
      </x:c>
      <x:c r="F29" s="12" t="str">
        <x:v>sets</x:v>
      </x:c>
      <x:c r="G29" s="12" t="n">
        <x:v>1</x:v>
      </x:c>
      <x:c r="H29" s="10"/>
      <x:c r="I29" s="12" t="n">
        <x:f>ROUNDUP(E29/G29,0)</x:f>
        <x:v>14</x:v>
      </x:c>
      <x:c r="J29" s="11" t="str">
        <x:f>IF(H29="","",I29*H29)</x:f>
      </x:c>
      <x:c r="K29" s="12" t="n">
        <x:v>1</x:v>
      </x:c>
      <x:c r="L29" s="12" t="n">
        <x:f>ROUNDUP(K29/G29,0)</x:f>
        <x:v>1</x:v>
      </x:c>
      <x:c r="M29" s="11" t="str">
        <x:f>IF(H29="","",L29*H29)</x:f>
      </x:c>
      <x:c r="N29" s="2" t="str">
        <x:v>Fabricate</x:v>
      </x:c>
      <x:c r="O29" s="2" t="e">
        <x:f>HYPERLINK("/Users/raamasrivatsan/Desktop/coding projects/tortfeeder/fabrication/carriage-adapter-6.35mm.svg","/Users/raamasrivatsan/Desktop/coding projects/tortfeeder/fabrication/carriage-adapter-6.35mm.svg")</x:f>
        <x:v>HYPERLINK is not implemented. linkLocation=/Users/raamasrivatsan/Desktop/coding projects/tortfeeder/fabrication/carriage-adapter-6.35mm.svg, friendlyName=/Users/raamasrivatsan/Desktop/coding projects/tortfeeder/fabrication/carriage-adapter-6.35mm.svg</x:v>
      </x:c>
      <x:c r="P29" s="2" t="str"/>
      <x:c r="Q29" s="3" t="str">
        <x:v>Laser cut. Existing adapter is provisional; add 28 guide-mount strips and revised motor plates. Raw acrylic counted underA01, not here.</x:v>
      </x:c>
    </x:row>
    <x:row r="30" ht="64" customHeight="1">
      <x:c r="B30" s="2" t="str">
        <x:v>M13</x:v>
      </x:c>
      <x:c r="C30" s="2" t="str">
        <x:v>Fresh trays</x:v>
      </x:c>
      <x:c r="D30" s="3" t="str">
        <x:v>M3 stainless fasteners for rail/block/printed mounts</x:v>
      </x:c>
      <x:c r="E30" s="12" t="n">
        <x:v>700</x:v>
      </x:c>
      <x:c r="F30" s="12" t="str">
        <x:v>sets</x:v>
      </x:c>
      <x:c r="G30" s="12" t="n">
        <x:v>1</x:v>
      </x:c>
      <x:c r="H30" s="10"/>
      <x:c r="I30" s="12" t="n">
        <x:f>ROUNDUP(E30/G30,0)</x:f>
        <x:v>700</x:v>
      </x:c>
      <x:c r="J30" s="11" t="str">
        <x:f>IF(H30="","",I30*H30)</x:f>
      </x:c>
      <x:c r="K30" s="12" t="n">
        <x:v>60</x:v>
      </x:c>
      <x:c r="L30" s="12" t="n">
        <x:f>ROUNDUP(K30/G30,0)</x:f>
        <x:v>60</x:v>
      </x:c>
      <x:c r="M30" s="11" t="str">
        <x:f>IF(H30="","",L30*H30)</x:f>
      </x:c>
      <x:c r="N30" s="2" t="str">
        <x:v>Select exact size</x:v>
      </x:c>
      <x:c r="O30" s="2" t="e">
        <x:f>HYPERLINK("https://www.mcmaster.com/products/metric-screws/","https://www.mcmaster.com/products/metric-screws/")</x:f>
        <x:v>HYPERLINK is not implemented. linkLocation=https://www.mcmaster.com/products/metric-screws/, friendlyName=https://www.mcmaster.com/products/metric-screws/</x:v>
      </x:c>
      <x:c r="P30" s="2" t="str"/>
      <x:c r="Q30" s="3" t="str">
        <x:v>Planning allowance:336 rail fasteners(12/rail),112 block fasteners(4/block),252 other. Rail holes must be counted from received drawing; select 6/8/12/16 mm lengths to avoid bottoming block threads.</x:v>
      </x:c>
    </x:row>
    <x:row r="31" ht="64" customHeight="1">
      <x:c r="B31" s="2" t="str">
        <x:v>M14</x:v>
      </x:c>
      <x:c r="C31" s="2" t="str">
        <x:v>Fresh trays</x:v>
      </x:c>
      <x:c r="D31" s="3" t="str">
        <x:v>M4/M5 motor, idler and cover fasteners</x:v>
      </x:c>
      <x:c r="E31" s="12" t="n">
        <x:v>240</x:v>
      </x:c>
      <x:c r="F31" s="12" t="str">
        <x:v>sets</x:v>
      </x:c>
      <x:c r="G31" s="12" t="n">
        <x:v>1</x:v>
      </x:c>
      <x:c r="H31" s="10"/>
      <x:c r="I31" s="12" t="n">
        <x:f>ROUNDUP(E31/G31,0)</x:f>
        <x:v>240</x:v>
      </x:c>
      <x:c r="J31" s="11" t="str">
        <x:f>IF(H31="","",I31*H31)</x:f>
      </x:c>
      <x:c r="K31" s="12" t="n">
        <x:v>24</x:v>
      </x:c>
      <x:c r="L31" s="12" t="n">
        <x:f>ROUNDUP(K31/G31,0)</x:f>
        <x:v>24</x:v>
      </x:c>
      <x:c r="M31" s="11" t="str">
        <x:f>IF(H31="","",L31*H31)</x:f>
      </x:c>
      <x:c r="N31" s="2" t="str">
        <x:v>Select exact size</x:v>
      </x:c>
      <x:c r="O31" s="2" t="e">
        <x:f>HYPERLINK("https://www.mcmaster.com/products/metric-screws/","https://www.mcmaster.com/products/metric-screws/")</x:f>
        <x:v>HYPERLINK is not implemented. linkLocation=https://www.mcmaster.com/products/metric-screws/, friendlyName=https://www.mcmaster.com/products/metric-screws/</x:v>
      </x:c>
      <x:c r="P31" s="2" t="str"/>
      <x:c r="Q31" s="3" t="str">
        <x:v>NEMA17 M3 pattern and geared motor hole pattern must follow drawings. This allowance covers idlers, brackets, guards and linkage hardware; split lengths after CAD.</x:v>
      </x:c>
    </x:row>
    <x:row r="32" ht="64" customHeight="1">
      <x:c r="B32" s="2" t="str">
        <x:v>M15</x:v>
      </x:c>
      <x:c r="C32" s="2" t="str">
        <x:v>Fresh trays</x:v>
      </x:c>
      <x:c r="D32" s="3" t="str">
        <x:v>R18 10×20 mm cable carrier,1 m</x:v>
      </x:c>
      <x:c r="E32" s="12" t="n">
        <x:v>14</x:v>
      </x:c>
      <x:c r="F32" s="12" t="str">
        <x:v>each</x:v>
      </x:c>
      <x:c r="G32" s="12" t="n">
        <x:v>1</x:v>
      </x:c>
      <x:c r="H32" s="10" t="n">
        <x:v>13.89</x:v>
      </x:c>
      <x:c r="I32" s="12" t="n">
        <x:f>ROUNDUP(E32/G32,0)</x:f>
        <x:v>14</x:v>
      </x:c>
      <x:c r="J32" s="11" t="n">
        <x:f>IF(H32="","",I32*H32)</x:f>
        <x:v>194.46</x:v>
      </x:c>
      <x:c r="K32" s="12" t="n">
        <x:v>1</x:v>
      </x:c>
      <x:c r="L32" s="12" t="n">
        <x:f>ROUNDUP(K32/G32,0)</x:f>
        <x:v>1</x:v>
      </x:c>
      <x:c r="M32" s="11" t="n">
        <x:f>IF(H32="","",L32*H32)</x:f>
        <x:v>13.89</x:v>
      </x:c>
      <x:c r="N32" s="2" t="str">
        <x:v>Prototype first</x:v>
      </x:c>
      <x:c r="O32" s="2" t="e">
        <x:f>HYPERLINK("https://www.amazon.com/dp/B09376Q64H","https://www.amazon.com/dp/B09376Q64H")</x:f>
        <x:v>HYPERLINK is not implemented. linkLocation=https://www.amazon.com/dp/B09376Q64H, friendlyName=https://www.amazon.com/dp/B09376Q64H</x:v>
      </x:c>
      <x:c r="P32" s="2" t="str"/>
      <x:c r="Q32" s="3" t="str">
        <x:v>1/tray. Route only moving tip-motor/sensor leads; minimum cable bend radius and all cable-chain sweeps remain to check.</x:v>
      </x:c>
    </x:row>
    <x:row r="33" ht="64" customHeight="1">
      <x:c r="B33" s="2" t="str">
        <x:v>M16</x:v>
      </x:c>
      <x:c r="C33" s="2" t="str">
        <x:v>Pivots</x:v>
      </x:c>
      <x:c r="D33" s="3" t="str">
        <x:v>Positive resting stops/latches and bought springs</x:v>
      </x:c>
      <x:c r="E33" s="12" t="n">
        <x:v>15</x:v>
      </x:c>
      <x:c r="F33" s="12" t="str">
        <x:v>sets</x:v>
      </x:c>
      <x:c r="G33" s="12" t="n">
        <x:v>1</x:v>
      </x:c>
      <x:c r="H33" s="10"/>
      <x:c r="I33" s="12" t="n">
        <x:f>ROUNDUP(E33/G33,0)</x:f>
        <x:v>15</x:v>
      </x:c>
      <x:c r="J33" s="11" t="str">
        <x:f>IF(H33="","",I33*H33)</x:f>
      </x:c>
      <x:c r="K33" s="12" t="n">
        <x:v>1</x:v>
      </x:c>
      <x:c r="L33" s="12" t="n">
        <x:f>ROUNDUP(K33/G33,0)</x:f>
        <x:v>1</x:v>
      </x:c>
      <x:c r="M33" s="11" t="str">
        <x:f>IF(H33="","",L33*H33)</x:f>
      </x:c>
      <x:c r="N33" s="2" t="str">
        <x:v>Select exact size</x:v>
      </x:c>
      <x:c r="O33" s="2" t="e">
        <x:f>HYPERLINK("https://www.mcmaster.com/products/spring-plungers/","https://www.mcmaster.com/products/spring-plungers/")</x:f>
        <x:v>HYPERLINK is not implemented. linkLocation=https://www.mcmaster.com/products/spring-plungers/, friendlyName=https://www.mcmaster.com/products/spring-plungers/</x:v>
      </x:c>
      <x:c r="P33" s="2" t="str"/>
      <x:c r="Q33" s="3" t="str">
        <x:v>Required mechanical support with power removed. Gearbox not assumed self-locking. Printed cam/latch geometry must release with carriage motion, with purchased pins/springs; not yet drawn.</x:v>
      </x:c>
    </x:row>
    <x:row r="34" ht="64" customHeight="1">
      <x:c r="B34" s="2" t="str">
        <x:v>M17</x:v>
      </x:c>
      <x:c r="C34" s="2" t="str">
        <x:v>Fresh trays</x:v>
      </x:c>
      <x:c r="D34" s="3" t="str">
        <x:v>Individual printed tray covers and acrylic panels</x:v>
      </x:c>
      <x:c r="E34" s="12" t="n">
        <x:v>14</x:v>
      </x:c>
      <x:c r="F34" s="12" t="str">
        <x:v>sets</x:v>
      </x:c>
      <x:c r="G34" s="12" t="n">
        <x:v>1</x:v>
      </x:c>
      <x:c r="H34" s="10"/>
      <x:c r="I34" s="12" t="n">
        <x:f>ROUNDUP(E34/G34,0)</x:f>
        <x:v>14</x:v>
      </x:c>
      <x:c r="J34" s="11" t="str">
        <x:f>IF(H34="","",I34*H34)</x:f>
      </x:c>
      <x:c r="K34" s="12" t="n">
        <x:v>1</x:v>
      </x:c>
      <x:c r="L34" s="12" t="n">
        <x:f>ROUNDUP(K34/G34,0)</x:f>
        <x:v>1</x:v>
      </x:c>
      <x:c r="M34" s="11" t="str">
        <x:f>IF(H34="","",L34*H34)</x:f>
      </x:c>
      <x:c r="N34" s="2" t="str">
        <x:v>Fabricate</x:v>
      </x:c>
      <x:c r="O34" s="2" t="e">
        <x:f>HYPERLINK("/Users/raamasrivatsan/Desktop/coding projects/tortfeeder/fabrication/printed-parts.scad","/Users/raamasrivatsan/Desktop/coding projects/tortfeeder/fabrication/printed-parts.scad")</x:f>
        <x:v>HYPERLINK is not implemented. linkLocation=/Users/raamasrivatsan/Desktop/coding projects/tortfeeder/fabrication/printed-parts.scad, friendlyName=/Users/raamasrivatsan/Desktop/coding projects/tortfeeder/fabrication/printed-parts.scad</x:v>
      </x:c>
      <x:c r="P34" s="2" t="str"/>
      <x:c r="Q34" s="3" t="str">
        <x:v>Humidity and contamination covers; opening action currently unresolved. No separate lid motor assumed: requires passive cam linkage to be proven.</x:v>
      </x:c>
    </x:row>
    <x:row r="35" ht="64" customHeight="1">
      <x:c r="B35" s="2" t="str">
        <x:v>H01</x:v>
      </x:c>
      <x:c r="C35" s="2" t="str">
        <x:v>Outlet</x:v>
      </x:c>
      <x:c r="D35" s="3" t="str">
        <x:v>Justech 12 V 100 mm 96 N mini linear hatch actuator</x:v>
      </x:c>
      <x:c r="E35" s="12" t="n">
        <x:v>1</x:v>
      </x:c>
      <x:c r="F35" s="12" t="str">
        <x:v>each</x:v>
      </x:c>
      <x:c r="G35" s="12" t="n">
        <x:v>1</x:v>
      </x:c>
      <x:c r="H35" s="10" t="n">
        <x:v>26.99</x:v>
      </x:c>
      <x:c r="I35" s="12" t="n">
        <x:f>ROUNDUP(E35/G35,0)</x:f>
        <x:v>1</x:v>
      </x:c>
      <x:c r="J35" s="11" t="n">
        <x:f>IF(H35="","",I35*H35)</x:f>
        <x:v>26.99</x:v>
      </x:c>
      <x:c r="K35" s="12" t="n">
        <x:v>0</x:v>
      </x:c>
      <x:c r="L35" s="12" t="n">
        <x:f>ROUNDUP(K35/G35,0)</x:f>
        <x:v>0</x:v>
      </x:c>
      <x:c r="M35" s="11" t="n">
        <x:f>IF(H35="","",L35*H35)</x:f>
        <x:v>0</x:v>
      </x:c>
      <x:c r="N35" s="2" t="str">
        <x:v>Prototype first</x:v>
      </x:c>
      <x:c r="O35" s="2" t="e">
        <x:f>HYPERLINK("https://www.amazon.com/dp/B0H7BWNM2T","https://www.amazon.com/dp/B0H7BWNM2T")</x:f>
        <x:v>HYPERLINK is not implemented. linkLocation=https://www.amazon.com/dp/B0H7BWNM2T, friendlyName=https://www.amazon.com/dp/B0H7BWNM2T</x:v>
      </x:c>
      <x:c r="P35" s="2" t="str"/>
      <x:c r="Q35" s="3" t="str">
        <x:v>IP54 listing; dry protected mounting only.9.5 mm/s, built-in limits per listing to verify. Hatch geometry/stroke and obstruction force cutoff need bench validation.</x:v>
      </x:c>
    </x:row>
    <x:row r="36" ht="64" customHeight="1">
      <x:c r="B36" s="2" t="str">
        <x:v>H02</x:v>
      </x:c>
      <x:c r="C36" s="2" t="str">
        <x:v>Outlet</x:v>
      </x:c>
      <x:c r="D36" s="3" t="str">
        <x:v>Purchased stainless hinges</x:v>
      </x:c>
      <x:c r="E36" s="12" t="n">
        <x:v>3</x:v>
      </x:c>
      <x:c r="F36" s="12" t="str">
        <x:v>each</x:v>
      </x:c>
      <x:c r="G36" s="12" t="n">
        <x:v>1</x:v>
      </x:c>
      <x:c r="H36" s="10"/>
      <x:c r="I36" s="12" t="n">
        <x:f>ROUNDUP(E36/G36,0)</x:f>
        <x:v>3</x:v>
      </x:c>
      <x:c r="J36" s="11" t="str">
        <x:f>IF(H36="","",I36*H36)</x:f>
      </x:c>
      <x:c r="K36" s="12" t="n">
        <x:v>0</x:v>
      </x:c>
      <x:c r="L36" s="12" t="n">
        <x:f>ROUNDUP(K36/G36,0)</x:f>
        <x:v>0</x:v>
      </x:c>
      <x:c r="M36" s="11" t="str">
        <x:f>IF(H36="","",L36*H36)</x:f>
      </x:c>
      <x:c r="N36" s="2" t="str">
        <x:v>Select exact size</x:v>
      </x:c>
      <x:c r="O36" s="2" t="e">
        <x:f>HYPERLINK("https://www.mcmaster.com/products/stainless-steel-hinges/","https://www.mcmaster.com/products/stainless-steel-hinges/")</x:f>
        <x:v>HYPERLINK is not implemented. linkLocation=https://www.mcmaster.com/products/stainless-steel-hinges/, friendlyName=https://www.mcmaster.com/products/stainless-steel-hinges/</x:v>
      </x:c>
      <x:c r="P36" s="2" t="str"/>
      <x:c r="Q36" s="3" t="str">
        <x:v>Hatch 2 hinges +service door allowance 1; actual hinge knuckles and hardware outside food sweep.</x:v>
      </x:c>
    </x:row>
    <x:row r="37" ht="64" customHeight="1">
      <x:c r="B37" s="2" t="str">
        <x:v>H03</x:v>
      </x:c>
      <x:c r="C37" s="2" t="str">
        <x:v>Outlet</x:v>
      </x:c>
      <x:c r="D37" s="3" t="str">
        <x:v>Purchased compression latches</x:v>
      </x:c>
      <x:c r="E37" s="12" t="n">
        <x:v>4</x:v>
      </x:c>
      <x:c r="F37" s="12" t="str">
        <x:v>each</x:v>
      </x:c>
      <x:c r="G37" s="12" t="n">
        <x:v>1</x:v>
      </x:c>
      <x:c r="H37" s="10"/>
      <x:c r="I37" s="12" t="n">
        <x:f>ROUNDUP(E37/G37,0)</x:f>
        <x:v>4</x:v>
      </x:c>
      <x:c r="J37" s="11" t="str">
        <x:f>IF(H37="","",I37*H37)</x:f>
      </x:c>
      <x:c r="K37" s="12" t="n">
        <x:v>0</x:v>
      </x:c>
      <x:c r="L37" s="12" t="n">
        <x:f>ROUNDUP(K37/G37,0)</x:f>
        <x:v>0</x:v>
      </x:c>
      <x:c r="M37" s="11" t="str">
        <x:f>IF(H37="","",L37*H37)</x:f>
      </x:c>
      <x:c r="N37" s="2" t="str">
        <x:v>Select exact size</x:v>
      </x:c>
      <x:c r="O37" s="2" t="e">
        <x:f>HYPERLINK("https://www.mcmaster.com/products/compression-latches/","https://www.mcmaster.com/products/compression-latches/")</x:f>
        <x:v>HYPERLINK is not implemented. linkLocation=https://www.mcmaster.com/products/compression-latches/, friendlyName=https://www.mcmaster.com/products/compression-latches/</x:v>
      </x:c>
      <x:c r="P37" s="2" t="str"/>
      <x:c r="Q37" s="3" t="str">
        <x:v>Service access doors; latch reach must include insulation/gasket stack.</x:v>
      </x:c>
    </x:row>
    <x:row r="38" ht="64" customHeight="1">
      <x:c r="B38" s="2" t="str">
        <x:v>H04</x:v>
      </x:c>
      <x:c r="C38" s="2" t="str">
        <x:v>Outlet</x:v>
      </x:c>
      <x:c r="D38" s="3" t="str">
        <x:v>Silicone closed-cell gasket profile</x:v>
      </x:c>
      <x:c r="E38" s="12" t="n">
        <x:v>15</x:v>
      </x:c>
      <x:c r="F38" s="12" t="str">
        <x:v>m</x:v>
      </x:c>
      <x:c r="G38" s="12" t="n">
        <x:v>1</x:v>
      </x:c>
      <x:c r="H38" s="10"/>
      <x:c r="I38" s="12" t="n">
        <x:f>ROUNDUP(E38/G38,0)</x:f>
        <x:v>15</x:v>
      </x:c>
      <x:c r="J38" s="11" t="str">
        <x:f>IF(H38="","",I38*H38)</x:f>
      </x:c>
      <x:c r="K38" s="12" t="n">
        <x:v>0</x:v>
      </x:c>
      <x:c r="L38" s="12" t="n">
        <x:f>ROUNDUP(K38/G38,0)</x:f>
        <x:v>0</x:v>
      </x:c>
      <x:c r="M38" s="11" t="str">
        <x:f>IF(H38="","",L38*H38)</x:f>
      </x:c>
      <x:c r="N38" s="2" t="str">
        <x:v>Select exact size</x:v>
      </x:c>
      <x:c r="O38" s="2" t="e">
        <x:f>HYPERLINK("https://www.mcmaster.com/products/silicone-foam/","https://www.mcmaster.com/products/silicone-foam/")</x:f>
        <x:v>HYPERLINK is not implemented. linkLocation=https://www.mcmaster.com/products/silicone-foam/, friendlyName=https://www.mcmaster.com/products/silicone-foam/</x:v>
      </x:c>
      <x:c r="P38" s="2" t="str"/>
      <x:c r="Q38" s="3" t="str">
        <x:v>Door, hatch and panel seals allowance. Specify cold/wet, exterior suitable, documented grade for any food splash. Final section and compression gap pending.</x:v>
      </x:c>
    </x:row>
    <x:row r="39" ht="64" customHeight="1">
      <x:c r="B39" s="2" t="str">
        <x:v>H05</x:v>
      </x:c>
      <x:c r="C39" s="2" t="str">
        <x:v>Outlet</x:v>
      </x:c>
      <x:c r="D39" s="3" t="str">
        <x:v>Printed hatch surround, guards and laser-cut skins</x:v>
      </x:c>
      <x:c r="E39" s="12" t="n">
        <x:v>1</x:v>
      </x:c>
      <x:c r="F39" s="12" t="str">
        <x:v>set</x:v>
      </x:c>
      <x:c r="G39" s="12" t="n">
        <x:v>1</x:v>
      </x:c>
      <x:c r="H39" s="10"/>
      <x:c r="I39" s="12" t="n">
        <x:f>ROUNDUP(E39/G39,0)</x:f>
        <x:v>1</x:v>
      </x:c>
      <x:c r="J39" s="11" t="str">
        <x:f>IF(H39="","",I39*H39)</x:f>
      </x:c>
      <x:c r="K39" s="12" t="n">
        <x:v>0</x:v>
      </x:c>
      <x:c r="L39" s="12" t="n">
        <x:f>ROUNDUP(K39/G39,0)</x:f>
        <x:v>0</x:v>
      </x:c>
      <x:c r="M39" s="11" t="str">
        <x:f>IF(H39="","",L39*H39)</x:f>
      </x:c>
      <x:c r="N39" s="2" t="str">
        <x:v>Fabricate</x:v>
      </x:c>
      <x:c r="O39" s="2" t="e">
        <x:f>HYPERLINK("/Users/raamasrivatsan/Desktop/coding projects/tortfeeder/fabrication/printed-parts.scad","/Users/raamasrivatsan/Desktop/coding projects/tortfeeder/fabrication/printed-parts.scad")</x:f>
        <x:v>HYPERLINK is not implemented. linkLocation=/Users/raamasrivatsan/Desktop/coding projects/tortfeeder/fabrication/printed-parts.scad, friendlyName=/Users/raamasrivatsan/Desktop/coding projects/tortfeeder/fabrication/printed-parts.scad</x:v>
      </x:c>
      <x:c r="P39" s="2" t="str"/>
      <x:c r="Q39" s="3" t="str">
        <x:v>6.35 mm stiffeners,3.175 mm skins, purchased insulation. Protected pinch zone, detachable chute and cleanable food-contact surface.</x:v>
      </x:c>
    </x:row>
    <x:row r="40" ht="64" customHeight="1">
      <x:c r="B40" s="2" t="str">
        <x:v>H06</x:v>
      </x:c>
      <x:c r="C40" s="2" t="str">
        <x:v>Outlet</x:v>
      </x:c>
      <x:c r="D40" s="3" t="str">
        <x:v>VEVOR 32×16 inch stainless griddle serving plate</x:v>
      </x:c>
      <x:c r="E40" s="12" t="n">
        <x:v>1</x:v>
      </x:c>
      <x:c r="F40" s="12" t="str">
        <x:v>each</x:v>
      </x:c>
      <x:c r="G40" s="12" t="n">
        <x:v>1</x:v>
      </x:c>
      <x:c r="H40" s="10" t="n">
        <x:v>82.9</x:v>
      </x:c>
      <x:c r="I40" s="12" t="n">
        <x:f>ROUNDUP(E40/G40,0)</x:f>
        <x:v>1</x:v>
      </x:c>
      <x:c r="J40" s="11" t="n">
        <x:f>IF(H40="","",I40*H40)</x:f>
        <x:v>82.9</x:v>
      </x:c>
      <x:c r="K40" s="12" t="n">
        <x:v>0</x:v>
      </x:c>
      <x:c r="L40" s="12" t="n">
        <x:f>ROUNDUP(K40/G40,0)</x:f>
        <x:v>0</x:v>
      </x:c>
      <x:c r="M40" s="11" t="n">
        <x:f>IF(H40="","",L40*H40)</x:f>
        <x:v>0</x:v>
      </x:c>
      <x:c r="N40" s="2" t="str">
        <x:v>Prototype first</x:v>
      </x:c>
      <x:c r="O40" s="2" t="e">
        <x:f>HYPERLINK("https://www.amazon.com/dp/B0F1WZXPF8","https://www.amazon.com/dp/B0F1WZXPF8")</x:f>
        <x:v>HYPERLINK is not implemented. linkLocation=https://www.amazon.com/dp/B0F1WZXPF8, friendlyName=https://www.amazon.com/dp/B0F1WZXPF8</x:v>
      </x:c>
      <x:c r="P40" s="2" t="str"/>
      <x:c r="Q40" s="3" t="str">
        <x:v>812.8×406.4 mm nominal plate gives width over 740 mm chute span. Actual usable surface, lip height, handles and grease drain require inspection; front feeding access and drain plug unresolved. No heating appliance needed.</x:v>
      </x:c>
    </x:row>
    <x:row r="41" ht="64" customHeight="1">
      <x:c r="B41" s="2" t="str">
        <x:v>H07</x:v>
      </x:c>
      <x:c r="C41" s="2" t="str">
        <x:v>Outlet</x:v>
      </x:c>
      <x:c r="D41" s="3" t="str">
        <x:v>Plate cradle, no-tool removal and drain plug</x:v>
      </x:c>
      <x:c r="E41" s="12" t="n">
        <x:v>1</x:v>
      </x:c>
      <x:c r="F41" s="12" t="str">
        <x:v>set</x:v>
      </x:c>
      <x:c r="G41" s="12" t="n">
        <x:v>1</x:v>
      </x:c>
      <x:c r="H41" s="10"/>
      <x:c r="I41" s="12" t="n">
        <x:f>ROUNDUP(E41/G41,0)</x:f>
        <x:v>1</x:v>
      </x:c>
      <x:c r="J41" s="11" t="str">
        <x:f>IF(H41="","",I41*H41)</x:f>
      </x:c>
      <x:c r="K41" s="12" t="n">
        <x:v>0</x:v>
      </x:c>
      <x:c r="L41" s="12" t="n">
        <x:f>ROUNDUP(K41/G41,0)</x:f>
        <x:v>0</x:v>
      </x:c>
      <x:c r="M41" s="11" t="str">
        <x:f>IF(H41="","",L41*H41)</x:f>
      </x:c>
      <x:c r="N41" s="2" t="str">
        <x:v>Fabricate</x:v>
      </x:c>
      <x:c r="O41" s="2" t="e">
        <x:f>HYPERLINK("/Users/raamasrivatsan/Desktop/coding projects/tortfeeder/fabrication/printed-parts.scad","/Users/raamasrivatsan/Desktop/coding projects/tortfeeder/fabrication/printed-parts.scad")</x:f>
        <x:v>HYPERLINK is not implemented. linkLocation=/Users/raamasrivatsan/Desktop/coding projects/tortfeeder/fabrication/printed-parts.scad, friendlyName=/Users/raamasrivatsan/Desktop/coding projects/tortfeeder/fabrication/printed-parts.scad</x:v>
      </x:c>
      <x:c r="P41" s="2" t="str"/>
      <x:c r="Q41" s="3" t="str">
        <x:v>Printed support brackets with purchased food-contact drain plug if the selected plate has a drain; no flexible mat accessible to tortoise.</x:v>
      </x:c>
    </x:row>
    <x:row r="42" ht="64" customHeight="1">
      <x:c r="B42" s="2" t="str">
        <x:v>P01</x:v>
      </x:c>
      <x:c r="C42" s="2" t="str">
        <x:v>Pellets</x:v>
      </x:c>
      <x:c r="D42" s="3" t="str">
        <x:v>Winco SPJL-604 1/6-size, 4-inch soaking pan</x:v>
      </x:c>
      <x:c r="E42" s="12" t="n">
        <x:v>1</x:v>
      </x:c>
      <x:c r="F42" s="12" t="str">
        <x:v>each</x:v>
      </x:c>
      <x:c r="G42" s="12" t="n">
        <x:v>1</x:v>
      </x:c>
      <x:c r="H42" s="10" t="n">
        <x:v>10.99</x:v>
      </x:c>
      <x:c r="I42" s="12" t="n">
        <x:f>ROUNDUP(E42/G42,0)</x:f>
        <x:v>1</x:v>
      </x:c>
      <x:c r="J42" s="11" t="n">
        <x:f>IF(H42="","",I42*H42)</x:f>
        <x:v>10.99</x:v>
      </x:c>
      <x:c r="K42" s="12" t="n">
        <x:v>0</x:v>
      </x:c>
      <x:c r="L42" s="12" t="n">
        <x:f>ROUNDUP(K42/G42,0)</x:f>
        <x:v>0</x:v>
      </x:c>
      <x:c r="M42" s="11" t="n">
        <x:f>IF(H42="","",L42*H42)</x:f>
        <x:v>0</x:v>
      </x:c>
      <x:c r="N42" s="2" t="str">
        <x:v>Prototype first</x:v>
      </x:c>
      <x:c r="O42" s="2" t="e">
        <x:f>HYPERLINK("https://www.amazon.com/dp/B001VZ8RZ8","https://www.amazon.com/dp/B001VZ8RZ8")</x:f>
        <x:v>HYPERLINK is not implemented. linkLocation=https://www.amazon.com/dp/B001VZ8RZ8, friendlyName=https://www.amazon.com/dp/B001VZ8RZ8</x:v>
      </x:c>
      <x:c r="P42" s="2" t="e">
        <x:f>HYPERLINK("https://www.wincous.com/products/spjl-604","https://www.wincous.com/products/spjl-604")</x:f>
        <x:v>HYPERLINK is not implemented. linkLocation=https://www.wincous.com/products/spjl-604, friendlyName=https://www.wincous.com/products/spjl-604</x:v>
      </x:c>
      <x:c r="Q42" s="3" t="str">
        <x:v>Selected 25-gauge model differs from old SPJP-604 reference. Manufacturer exterior 177.8×163.5×101.6 mm. Measure inner taper/volume before using 932 mL estimate. No drain; tips after soak.</x:v>
      </x:c>
    </x:row>
    <x:row r="43" ht="64" customHeight="1">
      <x:c r="B43" s="2" t="str">
        <x:v>P02</x:v>
      </x:c>
      <x:c r="C43" s="2" t="str">
        <x:v>Pellets</x:v>
      </x:c>
      <x:c r="D43" s="3" t="str">
        <x:v>Hiwonder HTD45H serial bus gate servo</x:v>
      </x:c>
      <x:c r="E43" s="12" t="n">
        <x:v>2</x:v>
      </x:c>
      <x:c r="F43" s="12" t="str">
        <x:v>each</x:v>
      </x:c>
      <x:c r="G43" s="12" t="n">
        <x:v>1</x:v>
      </x:c>
      <x:c r="H43" s="10" t="n">
        <x:v>29.99</x:v>
      </x:c>
      <x:c r="I43" s="12" t="n">
        <x:f>ROUNDUP(E43/G43,0)</x:f>
        <x:v>2</x:v>
      </x:c>
      <x:c r="J43" s="11" t="n">
        <x:f>IF(H43="","",I43*H43)</x:f>
        <x:v>59.98</x:v>
      </x:c>
      <x:c r="K43" s="12" t="n">
        <x:v>0</x:v>
      </x:c>
      <x:c r="L43" s="12" t="n">
        <x:f>ROUNDUP(K43/G43,0)</x:f>
        <x:v>0</x:v>
      </x:c>
      <x:c r="M43" s="11" t="n">
        <x:f>IF(H43="","",L43*H43)</x:f>
        <x:v>0</x:v>
      </x:c>
      <x:c r="N43" s="2" t="str">
        <x:v>Prototype first</x:v>
      </x:c>
      <x:c r="O43" s="2" t="e">
        <x:f>HYPERLINK("https://www.amazon.com/dp/B0CB3T1P7Y","https://www.amazon.com/dp/B0CB3T1P7Y")</x:f>
        <x:v>HYPERLINK is not implemented. linkLocation=https://www.amazon.com/dp/B0CB3T1P7Y, friendlyName=https://www.amazon.com/dp/B0CB3T1P7Y</x:v>
      </x:c>
      <x:c r="P43" s="2" t="e">
        <x:f>HYPERLINK("https://www.hiwonder.com/products/htd-45h","https://www.hiwonder.com/products/htd-45h")</x:f>
        <x:v>HYPERLINK is not implemented. linkLocation=https://www.hiwonder.com/products/htd-45h, friendlyName=https://www.hiwonder.com/products/htd-45h</x:v>
      </x:c>
      <x:c r="Q43" s="3" t="str">
        <x:v>Top/bottom pellet gates;9–12.6V,240°, UART.45 kg·cm is STALL. Gate friction/jam current must be measured; not tray actuators.</x:v>
      </x:c>
    </x:row>
    <x:row r="44" ht="64" customHeight="1">
      <x:c r="B44" s="2" t="str">
        <x:v>P03</x:v>
      </x:c>
      <x:c r="C44" s="2" t="str">
        <x:v>Pellets</x:v>
      </x:c>
      <x:c r="D44" s="3" t="str">
        <x:v>Hiwonder/LewanSoul BusLinker V3 TTL interface</x:v>
      </x:c>
      <x:c r="E44" s="12" t="n">
        <x:v>1</x:v>
      </x:c>
      <x:c r="F44" s="12" t="str">
        <x:v>each</x:v>
      </x:c>
      <x:c r="G44" s="12" t="n">
        <x:v>1</x:v>
      </x:c>
      <x:c r="H44" s="10" t="n">
        <x:v>9.99</x:v>
      </x:c>
      <x:c r="I44" s="12" t="n">
        <x:f>ROUNDUP(E44/G44,0)</x:f>
        <x:v>1</x:v>
      </x:c>
      <x:c r="J44" s="11" t="n">
        <x:f>IF(H44="","",I44*H44)</x:f>
        <x:v>9.99</x:v>
      </x:c>
      <x:c r="K44" s="12" t="n">
        <x:v>0</x:v>
      </x:c>
      <x:c r="L44" s="12" t="n">
        <x:f>ROUNDUP(K44/G44,0)</x:f>
        <x:v>0</x:v>
      </x:c>
      <x:c r="M44" s="11" t="n">
        <x:f>IF(H44="","",L44*H44)</x:f>
        <x:v>0</x:v>
      </x:c>
      <x:c r="N44" s="2" t="str">
        <x:v>Prototype first</x:v>
      </x:c>
      <x:c r="O44" s="2" t="e">
        <x:f>HYPERLINK("https://www.amazon.com/dp/B0GTW7GR2L","https://www.amazon.com/dp/B0GTW7GR2L")</x:f>
        <x:v>HYPERLINK is not implemented. linkLocation=https://www.amazon.com/dp/B0GTW7GR2L, friendlyName=https://www.amazon.com/dp/B0GTW7GR2L</x:v>
      </x:c>
      <x:c r="P44" s="2" t="str"/>
      <x:c r="Q44" s="3" t="str">
        <x:v>Serial bus servos need compatible half-duplex UART, not PCA9685 PWM. Verify voltage levels, power isolation and actual HTD protocol before connection.</x:v>
      </x:c>
    </x:row>
    <x:row r="45" ht="64" customHeight="1">
      <x:c r="B45" s="2" t="str">
        <x:v>P04</x:v>
      </x:c>
      <x:c r="C45" s="2" t="str">
        <x:v>Pellets</x:v>
      </x:c>
      <x:c r="D45" s="3" t="str">
        <x:v>Purchased food-contact pellet hopper with sealed lid</x:v>
      </x:c>
      <x:c r="E45" s="12" t="n">
        <x:v>1</x:v>
      </x:c>
      <x:c r="F45" s="12" t="str">
        <x:v>each</x:v>
      </x:c>
      <x:c r="G45" s="12" t="n">
        <x:v>1</x:v>
      </x:c>
      <x:c r="H45" s="10"/>
      <x:c r="I45" s="12" t="n">
        <x:f>ROUNDUP(E45/G45,0)</x:f>
        <x:v>1</x:v>
      </x:c>
      <x:c r="J45" s="11" t="str">
        <x:f>IF(H45="","",I45*H45)</x:f>
      </x:c>
      <x:c r="K45" s="12" t="n">
        <x:v>0</x:v>
      </x:c>
      <x:c r="L45" s="12" t="n">
        <x:f>ROUNDUP(K45/G45,0)</x:f>
        <x:v>0</x:v>
      </x:c>
      <x:c r="M45" s="11" t="str">
        <x:f>IF(H45="","",L45*H45)</x:f>
      </x:c>
      <x:c r="N45" s="2" t="str">
        <x:v>Select exact size</x:v>
      </x:c>
      <x:c r="O45" s="2" t="e">
        <x:f>HYPERLINK("https://www.amazon.com/s?k=food%20grade%20cereal%20dispenser%20hopper%20sealed%20lid","https://www.amazon.com/s?k=food%20grade%20cereal%20dispenser%20hopper%20sealed%20lid")</x:f>
        <x:v>HYPERLINK is not implemented. linkLocation=https://www.amazon.com/s?k=food%20grade%20cereal%20dispenser%20hopper%20sealed%20lid, friendlyName=https://www.amazon.com/s?k=food%20grade%20cereal%20dispenser%20hopper%20sealed%20lid</x:v>
      </x:c>
      <x:c r="P45" s="2" t="str"/>
      <x:c r="Q45" s="3" t="str">
        <x:v>Target ≥2L for seven chamber doses plus margin. Must mate to ≈65 mm metering throat without custom metal machining; exact hopper/flange not selected.</x:v>
      </x:c>
    </x:row>
    <x:row r="46" ht="64" customHeight="1">
      <x:c r="B46" s="2" t="str">
        <x:v>P05</x:v>
      </x:c>
      <x:c r="C46" s="2" t="str">
        <x:v>Pellets</x:v>
      </x:c>
      <x:c r="D46" s="3" t="str">
        <x:v>Purchased food-contact acrylic dose tube</x:v>
      </x:c>
      <x:c r="E46" s="12" t="n">
        <x:v>1</x:v>
      </x:c>
      <x:c r="F46" s="12" t="str">
        <x:v>each</x:v>
      </x:c>
      <x:c r="G46" s="12" t="n">
        <x:v>1</x:v>
      </x:c>
      <x:c r="H46" s="10"/>
      <x:c r="I46" s="12" t="n">
        <x:f>ROUNDUP(E46/G46,0)</x:f>
        <x:v>1</x:v>
      </x:c>
      <x:c r="J46" s="11" t="str">
        <x:f>IF(H46="","",I46*H46)</x:f>
      </x:c>
      <x:c r="K46" s="12" t="n">
        <x:v>0</x:v>
      </x:c>
      <x:c r="L46" s="12" t="n">
        <x:f>ROUNDUP(K46/G46,0)</x:f>
        <x:v>0</x:v>
      </x:c>
      <x:c r="M46" s="11" t="str">
        <x:f>IF(H46="","",L46*H46)</x:f>
      </x:c>
      <x:c r="N46" s="2" t="str">
        <x:v>Select exact size</x:v>
      </x:c>
      <x:c r="O46" s="2" t="e">
        <x:f>HYPERLINK("https://www.mcmaster.com/products/acrylic-tubing/","https://www.mcmaster.com/products/acrylic-tubing/")</x:f>
        <x:v>HYPERLINK is not implemented. linkLocation=https://www.mcmaster.com/products/acrylic-tubing/, friendlyName=https://www.mcmaster.com/products/acrylic-tubing/</x:v>
      </x:c>
      <x:c r="P46" s="2" t="str"/>
      <x:c r="Q46" s="3" t="str">
        <x:v>Nominal 65 mm internal diameter×70 mm metering length is 232 mL. Select available tube then revise chamber; cannot assume a 65 mm exact catalogue bore. No printed food-contact hopper.</x:v>
      </x:c>
    </x:row>
    <x:row r="47" ht="64" customHeight="1">
      <x:c r="B47" s="2" t="str">
        <x:v>P06</x:v>
      </x:c>
      <x:c r="C47" s="2" t="str">
        <x:v>Pellets</x:v>
      </x:c>
      <x:c r="D47" s="3" t="str">
        <x:v>Laser-cut6.35mm gate housing,3.175mm gates</x:v>
      </x:c>
      <x:c r="E47" s="12" t="n">
        <x:v>1</x:v>
      </x:c>
      <x:c r="F47" s="12" t="str">
        <x:v>set</x:v>
      </x:c>
      <x:c r="G47" s="12" t="n">
        <x:v>1</x:v>
      </x:c>
      <x:c r="H47" s="10"/>
      <x:c r="I47" s="12" t="n">
        <x:f>ROUNDUP(E47/G47,0)</x:f>
        <x:v>1</x:v>
      </x:c>
      <x:c r="J47" s="11" t="str">
        <x:f>IF(H47="","",I47*H47)</x:f>
      </x:c>
      <x:c r="K47" s="12" t="n">
        <x:v>0</x:v>
      </x:c>
      <x:c r="L47" s="12" t="n">
        <x:f>ROUNDUP(K47/G47,0)</x:f>
        <x:v>0</x:v>
      </x:c>
      <x:c r="M47" s="11" t="str">
        <x:f>IF(H47="","",L47*H47)</x:f>
      </x:c>
      <x:c r="N47" s="2" t="str">
        <x:v>Fabricate</x:v>
      </x:c>
      <x:c r="O47" s="2" t="e">
        <x:f>HYPERLINK("https://www.mcmaster.com/products/cast-acrylic/","https://www.mcmaster.com/products/cast-acrylic/")</x:f>
        <x:v>HYPERLINK is not implemented. linkLocation=https://www.mcmaster.com/products/cast-acrylic/, friendlyName=https://www.mcmaster.com/products/cast-acrylic/</x:v>
      </x:c>
      <x:c r="P47" s="2" t="str"/>
      <x:c r="Q47" s="3" t="str">
        <x:v>Choose documented food-contact stock for gates. Printed exterior servo brackets and mechanical two-gate interlock; removable for cleaning.</x:v>
      </x:c>
    </x:row>
    <x:row r="48" ht="64" customHeight="1">
      <x:c r="B48" s="2" t="str">
        <x:v>P07</x:v>
      </x:c>
      <x:c r="C48" s="2" t="str">
        <x:v>Pellets</x:v>
      </x:c>
      <x:c r="D48" s="3" t="str">
        <x:v>Printed soaking-pan cradle, stops and guards</x:v>
      </x:c>
      <x:c r="E48" s="12" t="n">
        <x:v>1</x:v>
      </x:c>
      <x:c r="F48" s="12" t="str">
        <x:v>set</x:v>
      </x:c>
      <x:c r="G48" s="12" t="n">
        <x:v>1</x:v>
      </x:c>
      <x:c r="H48" s="10"/>
      <x:c r="I48" s="12" t="n">
        <x:f>ROUNDUP(E48/G48,0)</x:f>
        <x:v>1</x:v>
      </x:c>
      <x:c r="J48" s="11" t="str">
        <x:f>IF(H48="","",I48*H48)</x:f>
      </x:c>
      <x:c r="K48" s="12" t="n">
        <x:v>0</x:v>
      </x:c>
      <x:c r="L48" s="12" t="n">
        <x:f>ROUNDUP(K48/G48,0)</x:f>
        <x:v>0</x:v>
      </x:c>
      <x:c r="M48" s="11" t="str">
        <x:f>IF(H48="","",L48*H48)</x:f>
      </x:c>
      <x:c r="N48" s="2" t="str">
        <x:v>Fabricate</x:v>
      </x:c>
      <x:c r="O48" s="2" t="e">
        <x:f>HYPERLINK("/Users/raamasrivatsan/Desktop/coding projects/tortfeeder/fabrication/printed-parts.scad","/Users/raamasrivatsan/Desktop/coding projects/tortfeeder/fabrication/printed-parts.scad")</x:f>
        <x:v>HYPERLINK is not implemented. linkLocation=/Users/raamasrivatsan/Desktop/coding projects/tortfeeder/fabrication/printed-parts.scad, friendlyName=/Users/raamasrivatsan/Desktop/coding projects/tortfeeder/fabrication/printed-parts.scad</x:v>
      </x:c>
      <x:c r="P48" s="2" t="str"/>
      <x:c r="Q48" s="3" t="str">
        <x:v>15th geared motor/bearing/shaft set counted inM04, M07–10. CAD not released. Test water retention and complete wet-pellet release.</x:v>
      </x:c>
    </x:row>
    <x:row r="49" ht="64" customHeight="1">
      <x:c r="B49" s="2" t="str">
        <x:v>W01</x:v>
      </x:c>
      <x:c r="C49" s="2" t="str">
        <x:v>Water</x:v>
      </x:c>
      <x:c r="D49" s="3" t="str">
        <x:v>Kamoer KCPA600 24 V peristaltic pump</x:v>
      </x:c>
      <x:c r="E49" s="12" t="n">
        <x:v>1</x:v>
      </x:c>
      <x:c r="F49" s="12" t="str">
        <x:v>each</x:v>
      </x:c>
      <x:c r="G49" s="12" t="n">
        <x:v>1</x:v>
      </x:c>
      <x:c r="H49" s="10" t="n">
        <x:v>69</x:v>
      </x:c>
      <x:c r="I49" s="12" t="n">
        <x:f>ROUNDUP(E49/G49,0)</x:f>
        <x:v>1</x:v>
      </x:c>
      <x:c r="J49" s="11" t="n">
        <x:f>IF(H49="","",I49*H49)</x:f>
        <x:v>69</x:v>
      </x:c>
      <x:c r="K49" s="12" t="n">
        <x:v>0</x:v>
      </x:c>
      <x:c r="L49" s="12" t="n">
        <x:f>ROUNDUP(K49/G49,0)</x:f>
        <x:v>0</x:v>
      </x:c>
      <x:c r="M49" s="11" t="n">
        <x:f>IF(H49="","",L49*H49)</x:f>
        <x:v>0</x:v>
      </x:c>
      <x:c r="N49" s="2" t="str">
        <x:v>Prototype first</x:v>
      </x:c>
      <x:c r="O49" s="2" t="e">
        <x:f>HYPERLINK("https://www.amazon.com/dp/B0B9XCPSSS","https://www.amazon.com/dp/B0B9XCPSSS")</x:f>
        <x:v>HYPERLINK is not implemented. linkLocation=https://www.amazon.com/dp/B0B9XCPSSS, friendlyName=https://www.amazon.com/dp/B0B9XCPSSS</x:v>
      </x:c>
      <x:c r="P49" s="2" t="str"/>
      <x:c r="Q49" s="3" t="str">
        <x:v>180–520 mL/min listing;4mmID×7.2mmOD Norprene tubing. Do not assume supplied tube grade is drinking-water suitable. Need food-contact tubing validation and 24V current rating.</x:v>
      </x:c>
    </x:row>
    <x:row r="50" ht="64" customHeight="1">
      <x:c r="B50" s="2" t="str">
        <x:v>W02</x:v>
      </x:c>
      <x:c r="C50" s="2" t="str">
        <x:v>Water</x:v>
      </x:c>
      <x:c r="D50" s="3" t="str">
        <x:v>Scepter 2.5 gallon food-grade opaque water can</x:v>
      </x:c>
      <x:c r="E50" s="12" t="n">
        <x:v>1</x:v>
      </x:c>
      <x:c r="F50" s="12" t="str">
        <x:v>each</x:v>
      </x:c>
      <x:c r="G50" s="12" t="n">
        <x:v>1</x:v>
      </x:c>
      <x:c r="H50" s="10" t="n">
        <x:v>38.2</x:v>
      </x:c>
      <x:c r="I50" s="12" t="n">
        <x:f>ROUNDUP(E50/G50,0)</x:f>
        <x:v>1</x:v>
      </x:c>
      <x:c r="J50" s="11" t="n">
        <x:f>IF(H50="","",I50*H50)</x:f>
        <x:v>38.2</x:v>
      </x:c>
      <x:c r="K50" s="12" t="n">
        <x:v>0</x:v>
      </x:c>
      <x:c r="L50" s="12" t="n">
        <x:f>ROUNDUP(K50/G50,0)</x:f>
        <x:v>0</x:v>
      </x:c>
      <x:c r="M50" s="11" t="n">
        <x:f>IF(H50="","",L50*H50)</x:f>
        <x:v>0</x:v>
      </x:c>
      <x:c r="N50" s="2" t="str">
        <x:v>Prototype first</x:v>
      </x:c>
      <x:c r="O50" s="2" t="e">
        <x:f>HYPERLINK("https://www.amazon.com/dp/B0157AHAG4","https://www.amazon.com/dp/B0157AHAG4")</x:f>
        <x:v>HYPERLINK is not implemented. linkLocation=https://www.amazon.com/dp/B0157AHAG4, friendlyName=https://www.amazon.com/dp/B0157AHAG4</x:v>
      </x:c>
      <x:c r="P50" s="2" t="str"/>
      <x:c r="Q50" s="3" t="str">
        <x:v>~9.46L; original model uses 8L usable.200 mL/day dosing needs 1.4L/week; reserve excludes drinking water and cleaning. Keep tank below outlet to limit siphon risk.</x:v>
      </x:c>
    </x:row>
    <x:row r="51" ht="64" customHeight="1">
      <x:c r="B51" s="2" t="str">
        <x:v>W03</x:v>
      </x:c>
      <x:c r="C51" s="2" t="str">
        <x:v>Water</x:v>
      </x:c>
      <x:c r="D51" s="3" t="str">
        <x:v>Documented food-contact pump tube and feed hose</x:v>
      </x:c>
      <x:c r="E51" s="12" t="n">
        <x:v>5</x:v>
      </x:c>
      <x:c r="F51" s="12" t="str">
        <x:v>m</x:v>
      </x:c>
      <x:c r="G51" s="12" t="n">
        <x:v>1</x:v>
      </x:c>
      <x:c r="H51" s="10"/>
      <x:c r="I51" s="12" t="n">
        <x:f>ROUNDUP(E51/G51,0)</x:f>
        <x:v>5</x:v>
      </x:c>
      <x:c r="J51" s="11" t="str">
        <x:f>IF(H51="","",I51*H51)</x:f>
      </x:c>
      <x:c r="K51" s="12" t="n">
        <x:v>0</x:v>
      </x:c>
      <x:c r="L51" s="12" t="n">
        <x:f>ROUNDUP(K51/G51,0)</x:f>
        <x:v>0</x:v>
      </x:c>
      <x:c r="M51" s="11" t="str">
        <x:f>IF(H51="","",L51*H51)</x:f>
      </x:c>
      <x:c r="N51" s="2" t="str">
        <x:v>Select exact size</x:v>
      </x:c>
      <x:c r="O51" s="2" t="e">
        <x:f>HYPERLINK("https://www.mcmaster.com/products/food-grade-tubing/","https://www.mcmaster.com/products/food-grade-tubing/")</x:f>
        <x:v>HYPERLINK is not implemented. linkLocation=https://www.mcmaster.com/products/food-grade-tubing/, friendlyName=https://www.mcmaster.com/products/food-grade-tubing/</x:v>
      </x:c>
      <x:c r="P51" s="2" t="str"/>
      <x:c r="Q51" s="3" t="str">
        <x:v>Pump head requires correct 4×7.2 mm tubing and fatigue rating; do not substitute 4×7 mm silicone without pump manufacturer approval. External feed hose size can use proper barbed adaptors.</x:v>
      </x:c>
    </x:row>
    <x:row r="52" ht="64" customHeight="1">
      <x:c r="B52" s="2" t="str">
        <x:v>W04</x:v>
      </x:c>
      <x:c r="C52" s="2" t="str">
        <x:v>Water</x:v>
      </x:c>
      <x:c r="D52" s="3" t="str">
        <x:v>Food-contact barbs, clamps, tank cap and nozzle</x:v>
      </x:c>
      <x:c r="E52" s="12" t="n">
        <x:v>1</x:v>
      </x:c>
      <x:c r="F52" s="12" t="str">
        <x:v>lot</x:v>
      </x:c>
      <x:c r="G52" s="12" t="n">
        <x:v>1</x:v>
      </x:c>
      <x:c r="H52" s="10"/>
      <x:c r="I52" s="12" t="n">
        <x:f>ROUNDUP(E52/G52,0)</x:f>
        <x:v>1</x:v>
      </x:c>
      <x:c r="J52" s="11" t="str">
        <x:f>IF(H52="","",I52*H52)</x:f>
      </x:c>
      <x:c r="K52" s="12" t="n">
        <x:v>0</x:v>
      </x:c>
      <x:c r="L52" s="12" t="n">
        <x:f>ROUNDUP(K52/G52,0)</x:f>
        <x:v>0</x:v>
      </x:c>
      <x:c r="M52" s="11" t="str">
        <x:f>IF(H52="","",L52*H52)</x:f>
      </x:c>
      <x:c r="N52" s="2" t="str">
        <x:v>Select exact size</x:v>
      </x:c>
      <x:c r="O52" s="2" t="e">
        <x:f>HYPERLINK("https://www.mcmaster.com/products/food-grade-fittings/","https://www.mcmaster.com/products/food-grade-fittings/")</x:f>
        <x:v>HYPERLINK is not implemented. linkLocation=https://www.mcmaster.com/products/food-grade-fittings/, friendlyName=https://www.mcmaster.com/products/food-grade-fittings/</x:v>
      </x:c>
      <x:c r="P52" s="2" t="str"/>
      <x:c r="Q52" s="3" t="str">
        <x:v>Nozzle above pan air gap; removable flushable feed. Purchased tank-cap pass-through, no drilled appliance shell. Detail depends on selected tubing.</x:v>
      </x:c>
    </x:row>
    <x:row r="53" ht="64" customHeight="1">
      <x:c r="B53" s="2" t="str">
        <x:v>W05</x:v>
      </x:c>
      <x:c r="C53" s="2" t="str">
        <x:v>Water</x:v>
      </x:c>
      <x:c r="D53" s="3" t="str">
        <x:v>Independent maximum-run timer and pump power cutoff</x:v>
      </x:c>
      <x:c r="E53" s="12" t="n">
        <x:v>1</x:v>
      </x:c>
      <x:c r="F53" s="12" t="str">
        <x:v>set</x:v>
      </x:c>
      <x:c r="G53" s="12" t="n">
        <x:v>1</x:v>
      </x:c>
      <x:c r="H53" s="10"/>
      <x:c r="I53" s="12" t="n">
        <x:f>ROUNDUP(E53/G53,0)</x:f>
        <x:v>1</x:v>
      </x:c>
      <x:c r="J53" s="11" t="str">
        <x:f>IF(H53="","",I53*H53)</x:f>
      </x:c>
      <x:c r="K53" s="12" t="n">
        <x:v>0</x:v>
      </x:c>
      <x:c r="L53" s="12" t="n">
        <x:f>ROUNDUP(K53/G53,0)</x:f>
        <x:v>0</x:v>
      </x:c>
      <x:c r="M53" s="11" t="str">
        <x:f>IF(H53="","",L53*H53)</x:f>
      </x:c>
      <x:c r="N53" s="2" t="str">
        <x:v>Select exact size</x:v>
      </x:c>
      <x:c r="O53" s="2" t="e">
        <x:f>HYPERLINK("https://www.amazon.com/s?k=24V%20one%20shot%20interval%20timer%20relay%20module","https://www.amazon.com/s?k=24V%20one%20shot%20interval%20timer%20relay%20module")</x:f>
        <x:v>HYPERLINK is not implemented. linkLocation=https://www.amazon.com/s?k=24V%20one%20shot%20interval%20timer%20relay%20module, friendlyName=https://www.amazon.com/s?k=24V%20one%20shot%20interval%20timer%20relay%20module</x:v>
      </x:c>
      <x:c r="P53" s="2" t="str"/>
      <x:c r="Q53" s="3" t="str">
        <x:v>Independent of ESP32. Set after measuring minimum/maximum flow and actual pan capacity; not just a software timer.</x:v>
      </x:c>
    </x:row>
    <x:row r="54" ht="64" customHeight="1">
      <x:c r="B54" s="2" t="str">
        <x:v>W06</x:v>
      </x:c>
      <x:c r="C54" s="2" t="str">
        <x:v>Water</x:v>
      </x:c>
      <x:c r="D54" s="3" t="str">
        <x:v>External capacitive low-water sensor</x:v>
      </x:c>
      <x:c r="E54" s="12" t="n">
        <x:v>1</x:v>
      </x:c>
      <x:c r="F54" s="12" t="str">
        <x:v>each</x:v>
      </x:c>
      <x:c r="G54" s="12" t="n">
        <x:v>1</x:v>
      </x:c>
      <x:c r="H54" s="10"/>
      <x:c r="I54" s="12" t="n">
        <x:f>ROUNDUP(E54/G54,0)</x:f>
        <x:v>1</x:v>
      </x:c>
      <x:c r="J54" s="11" t="str">
        <x:f>IF(H54="","",I54*H54)</x:f>
      </x:c>
      <x:c r="K54" s="12" t="n">
        <x:v>0</x:v>
      </x:c>
      <x:c r="L54" s="12" t="n">
        <x:f>ROUNDUP(K54/G54,0)</x:f>
        <x:v>0</x:v>
      </x:c>
      <x:c r="M54" s="11" t="str">
        <x:f>IF(H54="","",L54*H54)</x:f>
      </x:c>
      <x:c r="N54" s="2" t="str">
        <x:v>Select exact size</x:v>
      </x:c>
      <x:c r="O54" s="2" t="e">
        <x:f>HYPERLINK("https://www.amazon.com/s?k=non%20contact%20liquid%20level%20sensor%20XKC%20Y25","https://www.amazon.com/s?k=non%20contact%20liquid%20level%20sensor%20XKC%20Y25")</x:f>
        <x:v>HYPERLINK is not implemented. linkLocation=https://www.amazon.com/s?k=non%20contact%20liquid%20level%20sensor%20XKC%20Y25, friendlyName=https://www.amazon.com/s?k=non%20contact%20liquid%20level%20sensor%20XKC%20Y25</x:v>
      </x:c>
      <x:c r="P54" s="2" t="str"/>
      <x:c r="Q54" s="3" t="str">
        <x:v>Avoid unverified wetted float plastics. Must detect through selected opaque tank wall at 3.3V-safe interface.</x:v>
      </x:c>
    </x:row>
    <x:row r="55" ht="64" customHeight="1">
      <x:c r="B55" s="2" t="str">
        <x:v>W07</x:v>
      </x:c>
      <x:c r="C55" s="2" t="str">
        <x:v>Water</x:v>
      </x:c>
      <x:c r="D55" s="3" t="str">
        <x:v>Leak detector and spill catch tray</x:v>
      </x:c>
      <x:c r="E55" s="12" t="n">
        <x:v>1</x:v>
      </x:c>
      <x:c r="F55" s="12" t="str">
        <x:v>set</x:v>
      </x:c>
      <x:c r="G55" s="12" t="n">
        <x:v>1</x:v>
      </x:c>
      <x:c r="H55" s="10"/>
      <x:c r="I55" s="12" t="n">
        <x:f>ROUNDUP(E55/G55,0)</x:f>
        <x:v>1</x:v>
      </x:c>
      <x:c r="J55" s="11" t="str">
        <x:f>IF(H55="","",I55*H55)</x:f>
      </x:c>
      <x:c r="K55" s="12" t="n">
        <x:v>0</x:v>
      </x:c>
      <x:c r="L55" s="12" t="n">
        <x:f>ROUNDUP(K55/G55,0)</x:f>
        <x:v>0</x:v>
      </x:c>
      <x:c r="M55" s="11" t="str">
        <x:f>IF(H55="","",L55*H55)</x:f>
      </x:c>
      <x:c r="N55" s="2" t="str">
        <x:v>Select exact size</x:v>
      </x:c>
      <x:c r="O55" s="2" t="e">
        <x:f>HYPERLINK("https://www.amazon.com/s?k=water%20leak%20detection%20sensor%20wired%20module","https://www.amazon.com/s?k=water%20leak%20detection%20sensor%20wired%20module")</x:f>
        <x:v>HYPERLINK is not implemented. linkLocation=https://www.amazon.com/s?k=water%20leak%20detection%20sensor%20wired%20module, friendlyName=https://www.amazon.com/s?k=water%20leak%20detection%20sensor%20wired%20module</x:v>
      </x:c>
      <x:c r="P55" s="2" t="str"/>
      <x:c r="Q55" s="3" t="str">
        <x:v>Leak cuts pump power; printed/laser-cut catch tray outside food path. Condensation runoff separate.</x:v>
      </x:c>
    </x:row>
    <x:row r="56" ht="64" customHeight="1">
      <x:c r="B56" s="2" t="str">
        <x:v>E01</x:v>
      </x:c>
      <x:c r="C56" s="2" t="str">
        <x:v>Controls</x:v>
      </x:c>
      <x:c r="D56" s="3" t="str">
        <x:v>HiLetgo ESP32-WROOM32 development board</x:v>
      </x:c>
      <x:c r="E56" s="12" t="n">
        <x:v>1</x:v>
      </x:c>
      <x:c r="F56" s="12" t="str">
        <x:v>each</x:v>
      </x:c>
      <x:c r="G56" s="12" t="n">
        <x:v>1</x:v>
      </x:c>
      <x:c r="H56" s="10" t="n">
        <x:v>9.99</x:v>
      </x:c>
      <x:c r="I56" s="12" t="n">
        <x:f>ROUNDUP(E56/G56,0)</x:f>
        <x:v>1</x:v>
      </x:c>
      <x:c r="J56" s="11" t="n">
        <x:f>IF(H56="","",I56*H56)</x:f>
        <x:v>9.99</x:v>
      </x:c>
      <x:c r="K56" s="12" t="n">
        <x:v>1</x:v>
      </x:c>
      <x:c r="L56" s="12" t="n">
        <x:f>ROUNDUP(K56/G56,0)</x:f>
        <x:v>1</x:v>
      </x:c>
      <x:c r="M56" s="11" t="n">
        <x:f>IF(H56="","",L56*H56)</x:f>
        <x:v>9.99</x:v>
      </x:c>
      <x:c r="N56" s="2" t="str">
        <x:v>Listing confirmed</x:v>
      </x:c>
      <x:c r="O56" s="2" t="e">
        <x:f>HYPERLINK("https://www.amazon.com/dp/B0718T232Z","https://www.amazon.com/dp/B0718T232Z")</x:f>
        <x:v>HYPERLINK is not implemented. linkLocation=https://www.amazon.com/dp/B0718T232Z, friendlyName=https://www.amazon.com/dp/B0718T232Z</x:v>
      </x:c>
      <x:c r="P56" s="2" t="str"/>
      <x:c r="Q56" s="3" t="str">
        <x:v>One main controller; Wi-Fi range in outdoor cabinet to test. USB cable and stable 5V supply required. Optional spare not included.</x:v>
      </x:c>
    </x:row>
    <x:row r="57" ht="64" customHeight="1">
      <x:c r="B57" s="2" t="str">
        <x:v>E02</x:v>
      </x:c>
      <x:c r="C57" s="2" t="str">
        <x:v>Controls</x:v>
      </x:c>
      <x:c r="D57" s="3" t="str">
        <x:v>STEPPERONLINE DM542T stepper driver</x:v>
      </x:c>
      <x:c r="E57" s="12" t="n">
        <x:v>29</x:v>
      </x:c>
      <x:c r="F57" s="12" t="str">
        <x:v>each</x:v>
      </x:c>
      <x:c r="G57" s="12" t="n">
        <x:v>1</x:v>
      </x:c>
      <x:c r="H57" s="10" t="n">
        <x:v>32.99</x:v>
      </x:c>
      <x:c r="I57" s="12" t="n">
        <x:f>ROUNDUP(E57/G57,0)</x:f>
        <x:v>29</x:v>
      </x:c>
      <x:c r="J57" s="11" t="n">
        <x:f>IF(H57="","",I57*H57)</x:f>
        <x:v>956.71</x:v>
      </x:c>
      <x:c r="K57" s="12" t="n">
        <x:v>2</x:v>
      </x:c>
      <x:c r="L57" s="12" t="n">
        <x:f>ROUNDUP(K57/G57,0)</x:f>
        <x:v>2</x:v>
      </x:c>
      <x:c r="M57" s="11" t="n">
        <x:f>IF(H57="","",L57*H57)</x:f>
        <x:v>65.98</x:v>
      </x:c>
      <x:c r="N57" s="2" t="str">
        <x:v>Prototype first</x:v>
      </x:c>
      <x:c r="O57" s="2" t="e">
        <x:f>HYPERLINK("https://www.amazon.com/dp/B06Y5VPSFN","https://www.amazon.com/dp/B06Y5VPSFN")</x:f>
        <x:v>HYPERLINK is not implemented. linkLocation=https://www.amazon.com/dp/B06Y5VPSFN, friendlyName=https://www.amazon.com/dp/B06Y5VPSFN</x:v>
      </x:c>
      <x:c r="P57" s="2" t="e">
        <x:f>HYPERLINK("https://www.omc-stepperonline.com/download/DM542T_V4.0.pdf","https://www.omc-stepperonline.com/download/DM542T_V4.0.pdf")</x:f>
        <x:v>HYPERLINK is not implemented. linkLocation=https://www.omc-stepperonline.com/download/DM542T_V4.0.pdf, friendlyName=https://www.omc-stepperonline.com/download/DM542T_V4.0.pdf</x:v>
      </x:c>
      <x:c r="Q57" s="3" t="str">
        <x:v>14 slide+15 tip axes.24V supply; set each phase current per motor/driver manual RMS/peak table. Opto STEP/DIR/ENABLE need properly buffered 5V current drive. Do not drive 29 optos in parallel from ESP32.</x:v>
      </x:c>
    </x:row>
    <x:row r="58" ht="64" customHeight="1">
      <x:c r="B58" s="2" t="str">
        <x:v>E03</x:v>
      </x:c>
      <x:c r="C58" s="2" t="str">
        <x:v>Controls</x:v>
      </x:c>
      <x:c r="D58" s="3" t="str">
        <x:v>Waveshare MCP23017 IO expansion</x:v>
      </x:c>
      <x:c r="E58" s="12" t="n">
        <x:v>7</x:v>
      </x:c>
      <x:c r="F58" s="12" t="str">
        <x:v>each</x:v>
      </x:c>
      <x:c r="G58" s="12" t="n">
        <x:v>1</x:v>
      </x:c>
      <x:c r="H58" s="10" t="n">
        <x:v>12.99</x:v>
      </x:c>
      <x:c r="I58" s="12" t="n">
        <x:f>ROUNDUP(E58/G58,0)</x:f>
        <x:v>7</x:v>
      </x:c>
      <x:c r="J58" s="11" t="n">
        <x:f>IF(H58="","",I58*H58)</x:f>
        <x:v>90.93</x:v>
      </x:c>
      <x:c r="K58" s="12" t="n">
        <x:v>1</x:v>
      </x:c>
      <x:c r="L58" s="12" t="n">
        <x:f>ROUNDUP(K58/G58,0)</x:f>
        <x:v>1</x:v>
      </x:c>
      <x:c r="M58" s="11" t="n">
        <x:f>IF(H58="","",L58*H58)</x:f>
        <x:v>12.99</x:v>
      </x:c>
      <x:c r="N58" s="2" t="str">
        <x:v>Prototype first</x:v>
      </x:c>
      <x:c r="O58" s="2" t="e">
        <x:f>HYPERLINK("https://www.amazon.com/dp/B07P2H1NZG","https://www.amazon.com/dp/B07P2H1NZG")</x:f>
        <x:v>HYPERLINK is not implemented. linkLocation=https://www.amazon.com/dp/B07P2H1NZG, friendlyName=https://www.amazon.com/dp/B07P2H1NZG</x:v>
      </x:c>
      <x:c r="P58" s="2" t="e">
        <x:f>HYPERLINK("https://www.waveshare.com/mcp23017-io-expansion-board.htm","https://www.waveshare.com/mcp23017-io-expansion-board.htm")</x:f>
        <x:v>HYPERLINK is not implemented. linkLocation=https://www.waveshare.com/mcp23017-io-expansion-board.htm, friendlyName=https://www.waveshare.com/mcp23017-io-expansion-board.htm</x:v>
      </x:c>
      <x:c r="Q58" s="3" t="str">
        <x:v>112 slow I/O:29 enables+56 fresh limits+2 soak+2 hatch+2 door+2 gate+1plate+1tank+1leak=96. Spare 16. Pulse generation from ESP32 hardware, not I2C. Keep I2C inside dry control cabinet.</x:v>
      </x:c>
    </x:row>
    <x:row r="59" ht="64" customHeight="1">
      <x:c r="B59" s="2" t="str">
        <x:v>E04</x:v>
      </x:c>
      <x:c r="C59" s="2" t="str">
        <x:v>Controls</x:v>
      </x:c>
      <x:c r="D59" s="3" t="str">
        <x:v>ULN2803A 8-channel driver modules, 3-pack</x:v>
      </x:c>
      <x:c r="E59" s="12" t="n">
        <x:v>6</x:v>
      </x:c>
      <x:c r="F59" s="12" t="str">
        <x:v>boards</x:v>
      </x:c>
      <x:c r="G59" s="12" t="n">
        <x:v>3</x:v>
      </x:c>
      <x:c r="H59" s="10" t="n">
        <x:v>5.99</x:v>
      </x:c>
      <x:c r="I59" s="12" t="n">
        <x:f>ROUNDUP(E59/G59,0)</x:f>
        <x:v>2</x:v>
      </x:c>
      <x:c r="J59" s="11" t="n">
        <x:f>IF(H59="","",I59*H59)</x:f>
        <x:v>11.98</x:v>
      </x:c>
      <x:c r="K59" s="12" t="n">
        <x:v>1</x:v>
      </x:c>
      <x:c r="L59" s="12" t="n">
        <x:f>ROUNDUP(K59/G59,0)</x:f>
        <x:v>1</x:v>
      </x:c>
      <x:c r="M59" s="11" t="n">
        <x:f>IF(H59="","",L59*H59)</x:f>
        <x:v>5.99</x:v>
      </x:c>
      <x:c r="N59" s="2" t="str">
        <x:v>Prototype first</x:v>
      </x:c>
      <x:c r="O59" s="2" t="e">
        <x:f>HYPERLINK("https://www.amazon.com/dp/B0GD745BLL","https://www.amazon.com/dp/B0GD745BLL")</x:f>
        <x:v>HYPERLINK is not implemented. linkLocation=https://www.amazon.com/dp/B0GD745BLL, friendlyName=https://www.amazon.com/dp/B0GD745BLL</x:v>
      </x:c>
      <x:c r="P59" s="2" t="str"/>
      <x:c r="Q59" s="3" t="str">
        <x:v>Preliminary opto-current buffer allowance 48 channels:29axis enables plus separately buffered STEP/DIR groups. Needs electrical design, input-current/pulse-width/thermal proof; not a released circuit.</x:v>
      </x:c>
    </x:row>
    <x:row r="60" ht="64" customHeight="1">
      <x:c r="B60" s="2" t="str">
        <x:v>E05</x:v>
      </x:c>
      <x:c r="C60" s="2" t="str">
        <x:v>Controls</x:v>
      </x:c>
      <x:c r="D60" s="3" t="str">
        <x:v>HiLetgoBTS7960 H-bridge module</x:v>
      </x:c>
      <x:c r="E60" s="12" t="n">
        <x:v>2</x:v>
      </x:c>
      <x:c r="F60" s="12" t="str">
        <x:v>each</x:v>
      </x:c>
      <x:c r="G60" s="12" t="n">
        <x:v>1</x:v>
      </x:c>
      <x:c r="H60" s="10" t="n">
        <x:v>10.99</x:v>
      </x:c>
      <x:c r="I60" s="12" t="n">
        <x:f>ROUNDUP(E60/G60,0)</x:f>
        <x:v>2</x:v>
      </x:c>
      <x:c r="J60" s="11" t="n">
        <x:f>IF(H60="","",I60*H60)</x:f>
        <x:v>21.98</x:v>
      </x:c>
      <x:c r="K60" s="12" t="n">
        <x:v>0</x:v>
      </x:c>
      <x:c r="L60" s="12" t="n">
        <x:f>ROUNDUP(K60/G60,0)</x:f>
        <x:v>0</x:v>
      </x:c>
      <x:c r="M60" s="11" t="n">
        <x:f>IF(H60="","",L60*H60)</x:f>
        <x:v>0</x:v>
      </x:c>
      <x:c r="N60" s="2" t="str">
        <x:v>Prototype first</x:v>
      </x:c>
      <x:c r="O60" s="2" t="e">
        <x:f>HYPERLINK("https://www.amazon.com/dp/B00WSN98DC","https://www.amazon.com/dp/B00WSN98DC")</x:f>
        <x:v>HYPERLINK is not implemented. linkLocation=https://www.amazon.com/dp/B00WSN98DC, friendlyName=https://www.amazon.com/dp/B00WSN98DC</x:v>
      </x:c>
      <x:c r="P60" s="2" t="str"/>
      <x:c r="Q60" s="3" t="str">
        <x:v>1 hatch,1pump. Advertised 43A is not a usable continuous rating. Independent pump timer and flyback/transient protection still required; verify logic thresholds.</x:v>
      </x:c>
    </x:row>
    <x:row r="61" ht="64" customHeight="1">
      <x:c r="B61" s="2" t="str">
        <x:v>E06</x:v>
      </x:c>
      <x:c r="C61" s="2" t="str">
        <x:v>Controls</x:v>
      </x:c>
      <x:c r="D61" s="3" t="str">
        <x:v>DS18B20 waterproof temperature probes, 5-pack</x:v>
      </x:c>
      <x:c r="E61" s="12" t="n">
        <x:v>3</x:v>
      </x:c>
      <x:c r="F61" s="12" t="str">
        <x:v>each</x:v>
      </x:c>
      <x:c r="G61" s="12" t="n">
        <x:v>5</x:v>
      </x:c>
      <x:c r="H61" s="10" t="n">
        <x:v>10.99</x:v>
      </x:c>
      <x:c r="I61" s="12" t="n">
        <x:f>ROUNDUP(E61/G61,0)</x:f>
        <x:v>1</x:v>
      </x:c>
      <x:c r="J61" s="11" t="n">
        <x:f>IF(H61="","",I61*H61)</x:f>
        <x:v>10.99</x:v>
      </x:c>
      <x:c r="K61" s="12" t="n">
        <x:v>1</x:v>
      </x:c>
      <x:c r="L61" s="12" t="n">
        <x:f>ROUNDUP(K61/G61,0)</x:f>
        <x:v>1</x:v>
      </x:c>
      <x:c r="M61" s="11" t="n">
        <x:f>IF(H61="","",L61*H61)</x:f>
        <x:v>10.99</x:v>
      </x:c>
      <x:c r="N61" s="2" t="str">
        <x:v>Prototype first</x:v>
      </x:c>
      <x:c r="O61" s="2" t="e">
        <x:f>HYPERLINK("https://www.amazon.com/dp/B00M1PM55K","https://www.amazon.com/dp/B00M1PM55K")</x:f>
        <x:v>HYPERLINK is not implemented. linkLocation=https://www.amazon.com/dp/B00M1PM55K, friendlyName=https://www.amazon.com/dp/B00M1PM55K</x:v>
      </x:c>
      <x:c r="P61" s="2" t="str"/>
      <x:c r="Q61" s="3" t="str">
        <x:v>Two independent cold positions +ambient. Independent alarm/logger below. Stainless sheath food suitability not established; air probes only.4.7kΩ pullup needed.</x:v>
      </x:c>
    </x:row>
    <x:row r="62" ht="64" customHeight="1">
      <x:c r="B62" s="2" t="str">
        <x:v>E07</x:v>
      </x:c>
      <x:c r="C62" s="2" t="str">
        <x:v>Controls</x:v>
      </x:c>
      <x:c r="D62" s="3" t="str">
        <x:v>KW12-3 roller microswitch, 10-pack</x:v>
      </x:c>
      <x:c r="E62" s="12" t="n">
        <x:v>64</x:v>
      </x:c>
      <x:c r="F62" s="12" t="str">
        <x:v>each</x:v>
      </x:c>
      <x:c r="G62" s="12" t="n">
        <x:v>10</x:v>
      </x:c>
      <x:c r="H62" s="10" t="n">
        <x:v>5.99</x:v>
      </x:c>
      <x:c r="I62" s="12" t="n">
        <x:f>ROUNDUP(E62/G62,0)</x:f>
        <x:v>7</x:v>
      </x:c>
      <x:c r="J62" s="11" t="n">
        <x:f>IF(H62="","",I62*H62)</x:f>
        <x:v>41.93</x:v>
      </x:c>
      <x:c r="K62" s="12" t="n">
        <x:v>4</x:v>
      </x:c>
      <x:c r="L62" s="12" t="n">
        <x:f>ROUNDUP(K62/G62,0)</x:f>
        <x:v>1</x:v>
      </x:c>
      <x:c r="M62" s="11" t="n">
        <x:f>IF(H62="","",L62*H62)</x:f>
        <x:v>5.99</x:v>
      </x:c>
      <x:c r="N62" s="2" t="str">
        <x:v>Prototype first</x:v>
      </x:c>
      <x:c r="O62" s="2" t="e">
        <x:f>HYPERLINK("https://www.amazon.com/dp/B07X142VGC","https://www.amazon.com/dp/B07X142VGC")</x:f>
        <x:v>HYPERLINK is not implemented. linkLocation=https://www.amazon.com/dp/B07X142VGC, friendlyName=https://www.amazon.com/dp/B07X142VGC</x:v>
      </x:c>
      <x:c r="P62" s="2" t="str"/>
      <x:c r="Q62" s="3" t="str">
        <x:v>56 fresh(4/tray)+2 soak+2 hatch+2doors+2gates.7 packs 70. Bare switches are NOT waterproof. Protected prototype only; production needs sealed equivalent or validated condensation isolation. Wire NC with broken-wire fault detection.</x:v>
      </x:c>
    </x:row>
    <x:row r="63" ht="64" customHeight="1">
      <x:c r="B63" s="2" t="str">
        <x:v>E08</x:v>
      </x:c>
      <x:c r="C63" s="2" t="str">
        <x:v>Controls</x:v>
      </x:c>
      <x:c r="D63" s="3" t="str">
        <x:v>Protected plate-present switch/bracket</x:v>
      </x:c>
      <x:c r="E63" s="12" t="n">
        <x:v>1</x:v>
      </x:c>
      <x:c r="F63" s="12" t="str">
        <x:v>set</x:v>
      </x:c>
      <x:c r="G63" s="12" t="n">
        <x:v>1</x:v>
      </x:c>
      <x:c r="H63" s="10"/>
      <x:c r="I63" s="12" t="n">
        <x:f>ROUNDUP(E63/G63,0)</x:f>
        <x:v>1</x:v>
      </x:c>
      <x:c r="J63" s="11" t="str">
        <x:f>IF(H63="","",I63*H63)</x:f>
      </x:c>
      <x:c r="K63" s="12" t="n">
        <x:v>0</x:v>
      </x:c>
      <x:c r="L63" s="12" t="n">
        <x:f>ROUNDUP(K63/G63,0)</x:f>
        <x:v>0</x:v>
      </x:c>
      <x:c r="M63" s="11" t="str">
        <x:f>IF(H63="","",L63*H63)</x:f>
      </x:c>
      <x:c r="N63" s="2" t="str">
        <x:v>Select exact size</x:v>
      </x:c>
      <x:c r="O63" s="2" t="e">
        <x:f>HYPERLINK("https://www.mcmaster.com/products/limit-switches/","https://www.mcmaster.com/products/limit-switches/")</x:f>
        <x:v>HYPERLINK is not implemented. linkLocation=https://www.mcmaster.com/products/limit-switches/, friendlyName=https://www.mcmaster.com/products/limit-switches/</x:v>
      </x:c>
      <x:c r="P63" s="2" t="str"/>
      <x:c r="Q63" s="3" t="str">
        <x:v>Physical plate presence input plus debounce; choose sealed device after plate cradle layout.</x:v>
      </x:c>
    </x:row>
    <x:row r="64" ht="64" customHeight="1">
      <x:c r="B64" s="2" t="str">
        <x:v>E09</x:v>
      </x:c>
      <x:c r="C64" s="2" t="str">
        <x:v>Controls</x:v>
      </x:c>
      <x:c r="D64" s="3" t="str">
        <x:v>DS3231 RTC module and correct backup cell</x:v>
      </x:c>
      <x:c r="E64" s="12" t="n">
        <x:v>1</x:v>
      </x:c>
      <x:c r="F64" s="12" t="str">
        <x:v>set</x:v>
      </x:c>
      <x:c r="G64" s="12" t="n">
        <x:v>1</x:v>
      </x:c>
      <x:c r="H64" s="10"/>
      <x:c r="I64" s="12" t="n">
        <x:f>ROUNDUP(E64/G64,0)</x:f>
        <x:v>1</x:v>
      </x:c>
      <x:c r="J64" s="11" t="str">
        <x:f>IF(H64="","",I64*H64)</x:f>
      </x:c>
      <x:c r="K64" s="12" t="n">
        <x:v>1</x:v>
      </x:c>
      <x:c r="L64" s="12" t="n">
        <x:f>ROUNDUP(K64/G64,0)</x:f>
        <x:v>1</x:v>
      </x:c>
      <x:c r="M64" s="11" t="str">
        <x:f>IF(H64="","",L64*H64)</x:f>
      </x:c>
      <x:c r="N64" s="2" t="str">
        <x:v>Select exact size</x:v>
      </x:c>
      <x:c r="O64" s="2" t="e">
        <x:f>HYPERLINK("https://www.amazon.com/s?k=Adafruit%203013%20DS3231","https://www.amazon.com/s?k=Adafruit%203013%20DS3231")</x:f>
        <x:v>HYPERLINK is not implemented. linkLocation=https://www.amazon.com/s?k=Adafruit%203013%20DS3231, friendlyName=https://www.amazon.com/s?k=Adafruit%203013%20DS3231</x:v>
      </x:c>
      <x:c r="P64" s="2" t="e">
        <x:f>HYPERLINK("https://www.adafruit.com/product/3013","https://www.adafruit.com/product/3013")</x:f>
        <x:v>HYPERLINK is not implemented. linkLocation=https://www.adafruit.com/product/3013, friendlyName=https://www.adafruit.com/product/3013</x:v>
      </x:c>
      <x:c r="Q64" s="3" t="str">
        <x:v>Adafruit 3013 specification is nonchargingCR1220. Amazon exact seller/offer not verified. Do not install nonrechargeableCR2032 into a generic charging RTC module.</x:v>
      </x:c>
    </x:row>
    <x:row r="65" ht="64" customHeight="1">
      <x:c r="B65" s="2" t="str">
        <x:v>E10</x:v>
      </x:c>
      <x:c r="C65" s="2" t="str">
        <x:v>Controls</x:v>
      </x:c>
      <x:c r="D65" s="3" t="str">
        <x:v>Pullups, transient protection, terminals and carrier board</x:v>
      </x:c>
      <x:c r="E65" s="12" t="n">
        <x:v>1</x:v>
      </x:c>
      <x:c r="F65" s="12" t="str">
        <x:v>lot</x:v>
      </x:c>
      <x:c r="G65" s="12" t="n">
        <x:v>1</x:v>
      </x:c>
      <x:c r="H65" s="10"/>
      <x:c r="I65" s="12" t="n">
        <x:f>ROUNDUP(E65/G65,0)</x:f>
        <x:v>1</x:v>
      </x:c>
      <x:c r="J65" s="11" t="str">
        <x:f>IF(H65="","",I65*H65)</x:f>
      </x:c>
      <x:c r="K65" s="12" t="n">
        <x:v>1</x:v>
      </x:c>
      <x:c r="L65" s="12" t="n">
        <x:f>ROUNDUP(K65/G65,0)</x:f>
        <x:v>1</x:v>
      </x:c>
      <x:c r="M65" s="11" t="str">
        <x:f>IF(H65="","",L65*H65)</x:f>
      </x:c>
      <x:c r="N65" s="2" t="str">
        <x:v>Select exact size</x:v>
      </x:c>
      <x:c r="O65" s="2" t="e">
        <x:f>HYPERLINK("https://www.amazon.com/s?k=resistors%20capacitors%20perfboard%20screw%20terminal%20assortment","https://www.amazon.com/s?k=resistors%20capacitors%20perfboard%20screw%20terminal%20assortment")</x:f>
        <x:v>HYPERLINK is not implemented. linkLocation=https://www.amazon.com/s?k=resistors%20capacitors%20perfboard%20screw%20terminal%20assortment, friendlyName=https://www.amazon.com/s?k=resistors%20capacitors%20perfboard%20screw%20terminal%20assortment</x:v>
      </x:c>
      <x:c r="P65" s="2" t="str"/>
      <x:c r="Q65" s="3" t="str">
        <x:v>4.7k pullups, input filtering, opto buffers, hardware power-up disable and UART level shifting. Wiring schematic still pending; no custom PCB required.</x:v>
      </x:c>
    </x:row>
    <x:row r="66" ht="64" customHeight="1">
      <x:c r="B66" s="2" t="str">
        <x:v>E11</x:v>
      </x:c>
      <x:c r="C66" s="2" t="str">
        <x:v>Controls</x:v>
      </x:c>
      <x:c r="D66" s="3" t="str">
        <x:v>Independent cold temperature alarm/logger</x:v>
      </x:c>
      <x:c r="E66" s="12" t="n">
        <x:v>1</x:v>
      </x:c>
      <x:c r="F66" s="12" t="str">
        <x:v>each</x:v>
      </x:c>
      <x:c r="G66" s="12" t="n">
        <x:v>1</x:v>
      </x:c>
      <x:c r="H66" s="10"/>
      <x:c r="I66" s="12" t="n">
        <x:f>ROUNDUP(E66/G66,0)</x:f>
        <x:v>1</x:v>
      </x:c>
      <x:c r="J66" s="11" t="str">
        <x:f>IF(H66="","",I66*H66)</x:f>
      </x:c>
      <x:c r="K66" s="12" t="n">
        <x:v>0</x:v>
      </x:c>
      <x:c r="L66" s="12" t="n">
        <x:f>ROUNDUP(K66/G66,0)</x:f>
        <x:v>0</x:v>
      </x:c>
      <x:c r="M66" s="11" t="str">
        <x:f>IF(H66="","",L66*H66)</x:f>
      </x:c>
      <x:c r="N66" s="2" t="str">
        <x:v>Select exact size</x:v>
      </x:c>
      <x:c r="O66" s="2" t="e">
        <x:f>HYPERLINK("https://www.amazon.com/s?k=refrigerator%20temperature%20data%20logger%20alarm","https://www.amazon.com/s?k=refrigerator%20temperature%20data%20logger%20alarm")</x:f>
        <x:v>HYPERLINK is not implemented. linkLocation=https://www.amazon.com/s?k=refrigerator%20temperature%20data%20logger%20alarm, friendlyName=https://www.amazon.com/s?k=refrigerator%20temperature%20data%20logger%20alarm</x:v>
      </x:c>
      <x:c r="P66" s="2" t="str"/>
      <x:c r="Q66" s="3" t="str">
        <x:v>Independent battery-backed time history; alert does not depend only on feeder ESP32/Wi-Fi.</x:v>
      </x:c>
    </x:row>
    <x:row r="67" ht="64" customHeight="1">
      <x:c r="B67" s="2" t="str">
        <x:v>D01</x:v>
      </x:c>
      <x:c r="C67" s="2" t="str">
        <x:v>DC power</x:v>
      </x:c>
      <x:c r="D67" s="3" t="str">
        <x:v>Mean Well GST280A24-C6P 24 V 280 W supply</x:v>
      </x:c>
      <x:c r="E67" s="12" t="n">
        <x:v>1</x:v>
      </x:c>
      <x:c r="F67" s="12" t="str">
        <x:v>each</x:v>
      </x:c>
      <x:c r="G67" s="12" t="n">
        <x:v>1</x:v>
      </x:c>
      <x:c r="H67" s="10" t="n">
        <x:v>97.69</x:v>
      </x:c>
      <x:c r="I67" s="12" t="n">
        <x:f>ROUNDUP(E67/G67,0)</x:f>
        <x:v>1</x:v>
      </x:c>
      <x:c r="J67" s="11" t="n">
        <x:f>IF(H67="","",I67*H67)</x:f>
        <x:v>97.69</x:v>
      </x:c>
      <x:c r="K67" s="12" t="n">
        <x:v>1</x:v>
      </x:c>
      <x:c r="L67" s="12" t="n">
        <x:f>ROUNDUP(K67/G67,0)</x:f>
        <x:v>1</x:v>
      </x:c>
      <x:c r="M67" s="11" t="n">
        <x:f>IF(H67="","",L67*H67)</x:f>
        <x:v>97.69</x:v>
      </x:c>
      <x:c r="N67" s="2" t="str">
        <x:v>Prototype first</x:v>
      </x:c>
      <x:c r="O67" s="2" t="e">
        <x:f>HYPERLINK("https://www.amazon.com/dp/B019RC7RWA","https://www.amazon.com/dp/B019RC7RWA")</x:f>
        <x:v>HYPERLINK is not implemented. linkLocation=https://www.amazon.com/dp/B019RC7RWA, friendlyName=https://www.amazon.com/dp/B019RC7RWA</x:v>
      </x:c>
      <x:c r="P67" s="2" t="e">
        <x:f>HYPERLINK("https://www.meanwell.com/Upload/PDF/gst280a/gst280a-spec.pdf","https://www.meanwell.com/Upload/PDF/gst280a/gst280a-spec.pdf")</x:f>
        <x:v>HYPERLINK is not implemented. linkLocation=https://www.meanwell.com/Upload/PDF/gst280a/gst280a-spec.pdf, friendlyName=https://www.meanwell.com/Upload/PDF/gst280a/gst280a-spec.pdf</x:v>
      </x:c>
      <x:c r="Q67" s="3" t="str">
        <x:v>24V11.67A brick. Enable at most one moving axis; latch/rest supports essential for disabled axes. Full 29-axis simultaneous operation is NOT budgeted.</x:v>
      </x:c>
    </x:row>
    <x:row r="68" ht="64" customHeight="1">
      <x:c r="B68" s="2" t="str">
        <x:v>D02</x:v>
      </x:c>
      <x:c r="C68" s="2" t="str">
        <x:v>DC power</x:v>
      </x:c>
      <x:c r="D68" s="3" t="str">
        <x:v>MatchingC6P DC harness and IEC mains lead</x:v>
      </x:c>
      <x:c r="E68" s="12" t="n">
        <x:v>1</x:v>
      </x:c>
      <x:c r="F68" s="12" t="str">
        <x:v>set</x:v>
      </x:c>
      <x:c r="G68" s="12" t="n">
        <x:v>1</x:v>
      </x:c>
      <x:c r="H68" s="10"/>
      <x:c r="I68" s="12" t="n">
        <x:f>ROUNDUP(E68/G68,0)</x:f>
        <x:v>1</x:v>
      </x:c>
      <x:c r="J68" s="11" t="str">
        <x:f>IF(H68="","",I68*H68)</x:f>
      </x:c>
      <x:c r="K68" s="12" t="n">
        <x:v>1</x:v>
      </x:c>
      <x:c r="L68" s="12" t="n">
        <x:f>ROUNDUP(K68/G68,0)</x:f>
        <x:v>1</x:v>
      </x:c>
      <x:c r="M68" s="11" t="str">
        <x:f>IF(H68="","",L68*H68)</x:f>
      </x:c>
      <x:c r="N68" s="2" t="str">
        <x:v>Select exact size</x:v>
      </x:c>
      <x:c r="O68" s="2" t="e">
        <x:f>HYPERLINK("https://www.amazon.com/s?k=GST280A%20C6P%20mating%20cable%20IEC%20C13","https://www.amazon.com/s?k=GST280A%20C6P%20mating%20cable%20IEC%20C13")</x:f>
        <x:v>HYPERLINK is not implemented. linkLocation=https://www.amazon.com/s?k=GST280A%20C6P%20mating%20cable%20IEC%20C13, friendlyName=https://www.amazon.com/s?k=GST280A%20C6P%20mating%20cable%20IEC%20C13</x:v>
      </x:c>
      <x:c r="P68" s="2" t="str"/>
      <x:c r="Q68" s="3" t="str">
        <x:v>C6P output is 6 pin, not barrel. Verify pinout, wire gauge, strain relief and current sharing; no bare improvised connector.</x:v>
      </x:c>
    </x:row>
    <x:row r="69" ht="64" customHeight="1">
      <x:c r="B69" s="2" t="str">
        <x:v>D03</x:v>
      </x:c>
      <x:c r="C69" s="2" t="str">
        <x:v>DC power</x:v>
      </x:c>
      <x:c r="D69" s="3" t="str">
        <x:v>DROK 9–36 V to 12 V 10 A buck/boost</x:v>
      </x:c>
      <x:c r="E69" s="12" t="n">
        <x:v>1</x:v>
      </x:c>
      <x:c r="F69" s="12" t="str">
        <x:v>each</x:v>
      </x:c>
      <x:c r="G69" s="12" t="n">
        <x:v>1</x:v>
      </x:c>
      <x:c r="H69" s="10" t="n">
        <x:v>29.99</x:v>
      </x:c>
      <x:c r="I69" s="12" t="n">
        <x:f>ROUNDUP(E69/G69,0)</x:f>
        <x:v>1</x:v>
      </x:c>
      <x:c r="J69" s="11" t="n">
        <x:f>IF(H69="","",I69*H69)</x:f>
        <x:v>29.99</x:v>
      </x:c>
      <x:c r="K69" s="12" t="n">
        <x:v>0</x:v>
      </x:c>
      <x:c r="L69" s="12" t="n">
        <x:f>ROUNDUP(K69/G69,0)</x:f>
        <x:v>0</x:v>
      </x:c>
      <x:c r="M69" s="11" t="n">
        <x:f>IF(H69="","",L69*H69)</x:f>
        <x:v>0</x:v>
      </x:c>
      <x:c r="N69" s="2" t="str">
        <x:v>Prototype first</x:v>
      </x:c>
      <x:c r="O69" s="2" t="e">
        <x:f>HYPERLINK("https://www.amazon.com/dp/B0B6VGXRZK","https://www.amazon.com/dp/B0B6VGXRZK")</x:f>
        <x:v>HYPERLINK is not implemented. linkLocation=https://www.amazon.com/dp/B0B6VGXRZK, friendlyName=https://www.amazon.com/dp/B0B6VGXRZK</x:v>
      </x:c>
      <x:c r="P69" s="2" t="str"/>
      <x:c r="Q69" s="3" t="str">
        <x:v>Supplies 2 gate servos and hatch. Actual current budget and fuse ratings await stall tests.</x:v>
      </x:c>
    </x:row>
    <x:row r="70" ht="64" customHeight="1">
      <x:c r="B70" s="2" t="str">
        <x:v>D04</x:v>
      </x:c>
      <x:c r="C70" s="2" t="str">
        <x:v>DC power</x:v>
      </x:c>
      <x:c r="D70" s="3" t="str">
        <x:v>PlusRoc 24 V to 5 V 5 A converters, 2-pack</x:v>
      </x:c>
      <x:c r="E70" s="12" t="n">
        <x:v>1</x:v>
      </x:c>
      <x:c r="F70" s="12" t="str">
        <x:v>each</x:v>
      </x:c>
      <x:c r="G70" s="12" t="n">
        <x:v>2</x:v>
      </x:c>
      <x:c r="H70" s="10" t="n">
        <x:v>14.99</x:v>
      </x:c>
      <x:c r="I70" s="12" t="n">
        <x:f>ROUNDUP(E70/G70,0)</x:f>
        <x:v>1</x:v>
      </x:c>
      <x:c r="J70" s="11" t="n">
        <x:f>IF(H70="","",I70*H70)</x:f>
        <x:v>14.99</x:v>
      </x:c>
      <x:c r="K70" s="12" t="n">
        <x:v>1</x:v>
      </x:c>
      <x:c r="L70" s="12" t="n">
        <x:f>ROUNDUP(K70/G70,0)</x:f>
        <x:v>1</x:v>
      </x:c>
      <x:c r="M70" s="11" t="n">
        <x:f>IF(H70="","",L70*H70)</x:f>
        <x:v>14.99</x:v>
      </x:c>
      <x:c r="N70" s="2" t="str">
        <x:v>Prototype first</x:v>
      </x:c>
      <x:c r="O70" s="2" t="e">
        <x:f>HYPERLINK("https://www.amazon.com/dp/B0FYNCSV2Z","https://www.amazon.com/dp/B0FYNCSV2Z")</x:f>
        <x:v>HYPERLINK is not implemented. linkLocation=https://www.amazon.com/dp/B0FYNCSV2Z, friendlyName=https://www.amazon.com/dp/B0FYNCSV2Z</x:v>
      </x:c>
      <x:c r="P70" s="2" t="str"/>
      <x:c r="Q70" s="3" t="str">
        <x:v>One installed, one spare from pack. Independent fused 5V logic rail; do not backfeed USB programmer.</x:v>
      </x:c>
    </x:row>
    <x:row r="71" ht="64" customHeight="1">
      <x:c r="B71" s="2" t="str">
        <x:v>D05</x:v>
      </x:c>
      <x:c r="C71" s="2" t="str">
        <x:v>DC power</x:v>
      </x:c>
      <x:c r="D71" s="3" t="str">
        <x:v>DaierTek 12-way 24 V blade fuse block</x:v>
      </x:c>
      <x:c r="E71" s="12" t="n">
        <x:v>3</x:v>
      </x:c>
      <x:c r="F71" s="12" t="str">
        <x:v>each</x:v>
      </x:c>
      <x:c r="G71" s="12" t="n">
        <x:v>1</x:v>
      </x:c>
      <x:c r="H71" s="10" t="n">
        <x:v>15.99</x:v>
      </x:c>
      <x:c r="I71" s="12" t="n">
        <x:f>ROUNDUP(E71/G71,0)</x:f>
        <x:v>3</x:v>
      </x:c>
      <x:c r="J71" s="11" t="n">
        <x:f>IF(H71="","",I71*H71)</x:f>
        <x:v>47.97</x:v>
      </x:c>
      <x:c r="K71" s="12" t="n">
        <x:v>1</x:v>
      </x:c>
      <x:c r="L71" s="12" t="n">
        <x:f>ROUNDUP(K71/G71,0)</x:f>
        <x:v>1</x:v>
      </x:c>
      <x:c r="M71" s="11" t="n">
        <x:f>IF(H71="","",L71*H71)</x:f>
        <x:v>15.99</x:v>
      </x:c>
      <x:c r="N71" s="2" t="str">
        <x:v>Prototype first</x:v>
      </x:c>
      <x:c r="O71" s="2" t="e">
        <x:f>HYPERLINK("https://www.amazon.com/dp/B0CGT91KTR","https://www.amazon.com/dp/B0CGT91KTR")</x:f>
        <x:v>HYPERLINK is not implemented. linkLocation=https://www.amazon.com/dp/B0CGT91KTR, friendlyName=https://www.amazon.com/dp/B0CGT91KTR</x:v>
      </x:c>
      <x:c r="P71" s="2" t="str"/>
      <x:c r="Q71" s="3" t="str">
        <x:v>36branch positions allows 29 drivers plus auxiliaries. Match ratings to conductors, not optimistic module ratings; include actual blade fuses separately.</x:v>
      </x:c>
    </x:row>
    <x:row r="72" ht="64" customHeight="1">
      <x:c r="B72" s="2" t="str">
        <x:v>D06</x:v>
      </x:c>
      <x:c r="C72" s="2" t="str">
        <x:v>DC power</x:v>
      </x:c>
      <x:c r="D72" s="3" t="str">
        <x:v>Main/branch DC-rated fuses and fuseholders</x:v>
      </x:c>
      <x:c r="E72" s="12" t="n">
        <x:v>1</x:v>
      </x:c>
      <x:c r="F72" s="12" t="str">
        <x:v>lot</x:v>
      </x:c>
      <x:c r="G72" s="12" t="n">
        <x:v>1</x:v>
      </x:c>
      <x:c r="H72" s="10"/>
      <x:c r="I72" s="12" t="n">
        <x:f>ROUNDUP(E72/G72,0)</x:f>
        <x:v>1</x:v>
      </x:c>
      <x:c r="J72" s="11" t="str">
        <x:f>IF(H72="","",I72*H72)</x:f>
      </x:c>
      <x:c r="K72" s="12" t="n">
        <x:v>1</x:v>
      </x:c>
      <x:c r="L72" s="12" t="n">
        <x:f>ROUNDUP(K72/G72,0)</x:f>
        <x:v>1</x:v>
      </x:c>
      <x:c r="M72" s="11" t="str">
        <x:f>IF(H72="","",L72*H72)</x:f>
      </x:c>
      <x:c r="N72" s="2" t="str">
        <x:v>Select exact size</x:v>
      </x:c>
      <x:c r="O72" s="2" t="e">
        <x:f>HYPERLINK("https://www.mcmaster.com/products/dc-fuses/","https://www.mcmaster.com/products/dc-fuses/")</x:f>
        <x:v>HYPERLINK is not implemented. linkLocation=https://www.mcmaster.com/products/dc-fuses/, friendlyName=https://www.mcmaster.com/products/dc-fuses/</x:v>
      </x:c>
      <x:c r="P72" s="2" t="str"/>
      <x:c r="Q72" s="3" t="str">
        <x:v>Motor, converter, pump, servo and harness protection. Final currents after measured loads.</x:v>
      </x:c>
    </x:row>
    <x:row r="73" ht="64" customHeight="1">
      <x:c r="B73" s="2" t="str">
        <x:v>D07</x:v>
      </x:c>
      <x:c r="C73" s="2" t="str">
        <x:v>DC power</x:v>
      </x:c>
      <x:c r="D73" s="3" t="str">
        <x:v>BAOMAIN 22 mm 2NC latching stop button</x:v>
      </x:c>
      <x:c r="E73" s="12" t="n">
        <x:v>1</x:v>
      </x:c>
      <x:c r="F73" s="12" t="str">
        <x:v>each</x:v>
      </x:c>
      <x:c r="G73" s="12" t="n">
        <x:v>1</x:v>
      </x:c>
      <x:c r="H73" s="10" t="n">
        <x:v>7.79</x:v>
      </x:c>
      <x:c r="I73" s="12" t="n">
        <x:f>ROUNDUP(E73/G73,0)</x:f>
        <x:v>1</x:v>
      </x:c>
      <x:c r="J73" s="11" t="n">
        <x:f>IF(H73="","",I73*H73)</x:f>
        <x:v>7.79</x:v>
      </x:c>
      <x:c r="K73" s="12" t="n">
        <x:v>1</x:v>
      </x:c>
      <x:c r="L73" s="12" t="n">
        <x:f>ROUNDUP(K73/G73,0)</x:f>
        <x:v>1</x:v>
      </x:c>
      <x:c r="M73" s="11" t="n">
        <x:f>IF(H73="","",L73*H73)</x:f>
        <x:v>7.79</x:v>
      </x:c>
      <x:c r="N73" s="2" t="str">
        <x:v>Prototype first</x:v>
      </x:c>
      <x:c r="O73" s="2" t="e">
        <x:f>HYPERLINK("https://www.amazon.com/dp/B0CPSBHQRW","https://www.amazon.com/dp/B0CPSBHQRW")</x:f>
        <x:v>HYPERLINK is not implemented. linkLocation=https://www.amazon.com/dp/B0CPSBHQRW, friendlyName=https://www.amazon.com/dp/B0CPSBHQRW</x:v>
      </x:c>
      <x:c r="P73" s="2" t="str"/>
      <x:c r="Q73" s="3" t="str">
        <x:v>Use low-current control circuit for DC-rated power relay. Published AC contact rating does not authorize switching full 24V motor bus directly. Manual restart required.</x:v>
      </x:c>
    </x:row>
    <x:row r="74" ht="64" customHeight="1">
      <x:c r="B74" s="2" t="str">
        <x:v>D08</x:v>
      </x:c>
      <x:c r="C74" s="2" t="str">
        <x:v>DC power</x:v>
      </x:c>
      <x:c r="D74" s="3" t="str">
        <x:v>DC-rated master power relay/contactor</x:v>
      </x:c>
      <x:c r="E74" s="12" t="n">
        <x:v>1</x:v>
      </x:c>
      <x:c r="F74" s="12" t="str">
        <x:v>each</x:v>
      </x:c>
      <x:c r="G74" s="12" t="n">
        <x:v>1</x:v>
      </x:c>
      <x:c r="H74" s="10"/>
      <x:c r="I74" s="12" t="n">
        <x:f>ROUNDUP(E74/G74,0)</x:f>
        <x:v>1</x:v>
      </x:c>
      <x:c r="J74" s="11" t="str">
        <x:f>IF(H74="","",I74*H74)</x:f>
      </x:c>
      <x:c r="K74" s="12" t="n">
        <x:v>1</x:v>
      </x:c>
      <x:c r="L74" s="12" t="n">
        <x:f>ROUNDUP(K74/G74,0)</x:f>
        <x:v>1</x:v>
      </x:c>
      <x:c r="M74" s="11" t="str">
        <x:f>IF(H74="","",L74*H74)</x:f>
      </x:c>
      <x:c r="N74" s="2" t="str">
        <x:v>Select exact size</x:v>
      </x:c>
      <x:c r="O74" s="2" t="e">
        <x:f>HYPERLINK("https://www.mcmaster.com/products/dc-relays/","https://www.mcmaster.com/products/dc-relays/")</x:f>
        <x:v>HYPERLINK is not implemented. linkLocation=https://www.mcmaster.com/products/dc-relays/, friendlyName=https://www.mcmaster.com/products/dc-relays/</x:v>
      </x:c>
      <x:c r="P74" s="2" t="str"/>
      <x:c r="Q74" s="3" t="str">
        <x:v>Normally de-energized actuator power. Size for 24V bus current/inrush; stop button and controller watchdog must independently remove coil power.</x:v>
      </x:c>
    </x:row>
    <x:row r="75" ht="64" customHeight="1">
      <x:c r="B75" s="2" t="str">
        <x:v>D09</x:v>
      </x:c>
      <x:c r="C75" s="2" t="str">
        <x:v>DC power</x:v>
      </x:c>
      <x:c r="D75" s="3" t="str">
        <x:v>DEWENWILS 3 ft 12/3 outdoor GFCI cord</x:v>
      </x:c>
      <x:c r="E75" s="12" t="n">
        <x:v>1</x:v>
      </x:c>
      <x:c r="F75" s="12" t="str">
        <x:v>each</x:v>
      </x:c>
      <x:c r="G75" s="12" t="n">
        <x:v>1</x:v>
      </x:c>
      <x:c r="H75" s="10" t="n">
        <x:v>25.49</x:v>
      </x:c>
      <x:c r="I75" s="12" t="n">
        <x:f>ROUNDUP(E75/G75,0)</x:f>
        <x:v>1</x:v>
      </x:c>
      <x:c r="J75" s="11" t="n">
        <x:f>IF(H75="","",I75*H75)</x:f>
        <x:v>25.49</x:v>
      </x:c>
      <x:c r="K75" s="12" t="n">
        <x:v>0</x:v>
      </x:c>
      <x:c r="L75" s="12" t="n">
        <x:f>ROUNDUP(K75/G75,0)</x:f>
        <x:v>0</x:v>
      </x:c>
      <x:c r="M75" s="11" t="n">
        <x:f>IF(H75="","",L75*H75)</x:f>
        <x:v>0</x:v>
      </x:c>
      <x:c r="N75" s="2" t="str">
        <x:v>Listing confirmed</x:v>
      </x:c>
      <x:c r="O75" s="2" t="e">
        <x:f>HYPERLINK("https://www.amazon.com/dp/B08G4HNCR1","https://www.amazon.com/dp/B08G4HNCR1")</x:f>
        <x:v>HYPERLINK is not implemented. linkLocation=https://www.amazon.com/dp/B08G4HNCR1, friendlyName=https://www.amazon.com/dp/B08G4HNCR1</x:v>
      </x:c>
      <x:c r="P75" s="2" t="str"/>
      <x:c r="Q75" s="3" t="str">
        <x:v>UL listing claimed by seller; inspect received mark. Use appropriately installed outdoor receptacle and weather-protected plug connections.</x:v>
      </x:c>
    </x:row>
    <x:row r="76" ht="64" customHeight="1">
      <x:c r="B76" s="2" t="str">
        <x:v>D10</x:v>
      </x:c>
      <x:c r="C76" s="2" t="str">
        <x:v>DC power</x:v>
      </x:c>
      <x:c r="D76" s="3" t="str">
        <x:v>Sheltered power strip, cable inlet and cord protection</x:v>
      </x:c>
      <x:c r="E76" s="12" t="n">
        <x:v>1</x:v>
      </x:c>
      <x:c r="F76" s="12" t="str">
        <x:v>lot</x:v>
      </x:c>
      <x:c r="G76" s="12" t="n">
        <x:v>1</x:v>
      </x:c>
      <x:c r="H76" s="10"/>
      <x:c r="I76" s="12" t="n">
        <x:f>ROUNDUP(E76/G76,0)</x:f>
        <x:v>1</x:v>
      </x:c>
      <x:c r="J76" s="11" t="str">
        <x:f>IF(H76="","",I76*H76)</x:f>
      </x:c>
      <x:c r="K76" s="12" t="n">
        <x:v>0</x:v>
      </x:c>
      <x:c r="L76" s="12" t="n">
        <x:f>ROUNDUP(K76/G76,0)</x:f>
        <x:v>0</x:v>
      </x:c>
      <x:c r="M76" s="11" t="str">
        <x:f>IF(H76="","",L76*H76)</x:f>
      </x:c>
      <x:c r="N76" s="2" t="str">
        <x:v>Select exact size</x:v>
      </x:c>
      <x:c r="O76" s="2" t="e">
        <x:f>HYPERLINK("https://www.amazon.com/s?k=outdoor%20cord%20connection%20weatherproof%20enclosure%20power%20strip","https://www.amazon.com/s?k=outdoor%20cord%20connection%20weatherproof%20enclosure%20power%20strip")</x:f>
        <x:v>HYPERLINK is not implemented. linkLocation=https://www.amazon.com/s?k=outdoor%20cord%20connection%20weatherproof%20enclosure%20power%20strip, friendlyName=https://www.amazon.com/s?k=outdoor%20cord%20connection%20weatherproof%20enclosure%20power%20strip</x:v>
      </x:c>
      <x:c r="P76" s="2" t="str"/>
      <x:c r="Q76" s="3" t="str">
        <x:v>Keep all household mains equipment dry and outside food/cold zone. Electronics are low voltage. Cooling branch and Anker transfer/inrush remain to validate.</x:v>
      </x:c>
    </x:row>
    <x:row r="77" ht="64" customHeight="1">
      <x:c r="B77" s="2" t="str">
        <x:v>D11</x:v>
      </x:c>
      <x:c r="C77" s="2" t="str">
        <x:v>DC power</x:v>
      </x:c>
      <x:c r="D77" s="3" t="str">
        <x:v>Existing Anker backup and dry ventilated shelter</x:v>
      </x:c>
      <x:c r="E77" s="12" t="n">
        <x:v>1</x:v>
      </x:c>
      <x:c r="F77" s="12" t="str">
        <x:v>set</x:v>
      </x:c>
      <x:c r="G77" s="12" t="n">
        <x:v>1</x:v>
      </x:c>
      <x:c r="H77" s="10"/>
      <x:c r="I77" s="12" t="n">
        <x:f>ROUNDUP(E77/G77,0)</x:f>
        <x:v>1</x:v>
      </x:c>
      <x:c r="J77" s="11" t="str">
        <x:f>IF(H77="","",I77*H77)</x:f>
      </x:c>
      <x:c r="K77" s="12" t="n">
        <x:v>0</x:v>
      </x:c>
      <x:c r="L77" s="12" t="n">
        <x:f>ROUNDUP(K77/G77,0)</x:f>
        <x:v>0</x:v>
      </x:c>
      <x:c r="M77" s="11" t="str">
        <x:f>IF(H77="","",L77*H77)</x:f>
      </x:c>
      <x:c r="N77" s="2" t="str">
        <x:v>Select exact size</x:v>
      </x:c>
      <x:c r="O77" s="2" t="e">
        <x:f>HYPERLINK("https://www.amazon.com/s?k=Anker%20SOLIX%20UPS%20portable%20power%20station","https://www.amazon.com/s?k=Anker%20SOLIX%20UPS%20portable%20power%20station")</x:f>
        <x:v>HYPERLINK is not implemented. linkLocation=https://www.amazon.com/s?k=Anker%20SOLIX%20UPS%20portable%20power%20station, friendlyName=https://www.amazon.com/s?k=Anker%20SOLIX%20UPS%20portable%20power%20station</x:v>
      </x:c>
      <x:c r="P77" s="2" t="str"/>
      <x:c r="Q77" s="3" t="str">
        <x:v>Use existing battery if adequate. Exact model not given, no new battery selected/priced. Compressor startup, pass-through and GFCI behavior must be checked;4.4h old model estimate is not a promise for AC package.</x:v>
      </x:c>
    </x:row>
    <x:row r="78" ht="64" customHeight="1">
      <x:c r="B78" s="2" t="str">
        <x:v>B01</x:v>
      </x:c>
      <x:c r="C78" s="2" t="str">
        <x:v>Enclosures</x:v>
      </x:c>
      <x:c r="D78" s="3" t="str">
        <x:v>SAIPWELL 24×20×10 inch stainless control enclosure</x:v>
      </x:c>
      <x:c r="E78" s="12" t="n">
        <x:v>2</x:v>
      </x:c>
      <x:c r="F78" s="12" t="str">
        <x:v>each</x:v>
      </x:c>
      <x:c r="G78" s="12" t="n">
        <x:v>1</x:v>
      </x:c>
      <x:c r="H78" s="10" t="n">
        <x:v>267.99</x:v>
      </x:c>
      <x:c r="I78" s="12" t="n">
        <x:f>ROUNDUP(E78/G78,0)</x:f>
        <x:v>2</x:v>
      </x:c>
      <x:c r="J78" s="11" t="n">
        <x:f>IF(H78="","",I78*H78)</x:f>
        <x:v>535.98</x:v>
      </x:c>
      <x:c r="K78" s="12" t="n">
        <x:v>0</x:v>
      </x:c>
      <x:c r="L78" s="12" t="n">
        <x:f>ROUNDUP(K78/G78,0)</x:f>
        <x:v>0</x:v>
      </x:c>
      <x:c r="M78" s="11" t="n">
        <x:f>IF(H78="","",L78*H78)</x:f>
        <x:v>0</x:v>
      </x:c>
      <x:c r="N78" s="2" t="str">
        <x:v>Prototype first</x:v>
      </x:c>
      <x:c r="O78" s="2" t="e">
        <x:f>HYPERLINK("https://www.amazon.com/dp/B0H4Z58XHH","https://www.amazon.com/dp/B0H4Z58XHH")</x:f>
        <x:v>HYPERLINK is not implemented. linkLocation=https://www.amazon.com/dp/B0H4Z58XHH, friendlyName=https://www.amazon.com/dp/B0H4Z58XHH</x:v>
      </x:c>
      <x:c r="P78" s="2" t="str"/>
      <x:c r="Q78" s="3" t="str">
        <x:v>Two dry driver cabinets preliminary.29DM542T drivers plus wiring/heat dissipation require panel-layout proof; boxes/battery/AC may protrude beyond approved frame envelope. Metal enclosure needs bonding and RF antenna solution.</x:v>
      </x:c>
    </x:row>
    <x:row r="79" ht="64" customHeight="1">
      <x:c r="B79" s="2" t="str">
        <x:v>B02</x:v>
      </x:c>
      <x:c r="C79" s="2" t="str">
        <x:v>Enclosures</x:v>
      </x:c>
      <x:c r="D79" s="3" t="str">
        <x:v>Dry prototype electronics enclosure</x:v>
      </x:c>
      <x:c r="E79" s="12" t="n">
        <x:v>1</x:v>
      </x:c>
      <x:c r="F79" s="12" t="str">
        <x:v>each</x:v>
      </x:c>
      <x:c r="G79" s="12" t="n">
        <x:v>1</x:v>
      </x:c>
      <x:c r="H79" s="10"/>
      <x:c r="I79" s="12" t="n">
        <x:f>ROUNDUP(E79/G79,0)</x:f>
        <x:v>1</x:v>
      </x:c>
      <x:c r="J79" s="11" t="str">
        <x:f>IF(H79="","",I79*H79)</x:f>
      </x:c>
      <x:c r="K79" s="12" t="n">
        <x:v>1</x:v>
      </x:c>
      <x:c r="L79" s="12" t="n">
        <x:f>ROUNDUP(K79/G79,0)</x:f>
        <x:v>1</x:v>
      </x:c>
      <x:c r="M79" s="11" t="str">
        <x:f>IF(H79="","",L79*H79)</x:f>
      </x:c>
      <x:c r="N79" s="2" t="str">
        <x:v>Select exact size</x:v>
      </x:c>
      <x:c r="O79" s="2" t="e">
        <x:f>HYPERLINK("https://www.amazon.com/s?k=IP65%20ABS%20electronics%20junction%20box%20300%20200%20150","https://www.amazon.com/s?k=IP65%20ABS%20electronics%20junction%20box%20300%20200%20150")</x:f>
        <x:v>HYPERLINK is not implemented. linkLocation=https://www.amazon.com/s?k=IP65%20ABS%20electronics%20junction%20box%20300%20200%20150, friendlyName=https://www.amazon.com/s?k=IP65%20ABS%20electronics%20junction%20box%20300%20200%20150</x:v>
      </x:c>
      <x:c r="P79" s="2" t="str"/>
      <x:c r="Q79" s="3" t="str">
        <x:v>Small box for one-tray trial; full quantity 1 can serve logic compartment. Exact board clearance and gland layout pending.</x:v>
      </x:c>
    </x:row>
    <x:row r="80" ht="64" customHeight="1">
      <x:c r="B80" s="2" t="str">
        <x:v>B03</x:v>
      </x:c>
      <x:c r="C80" s="2" t="str">
        <x:v>Enclosures</x:v>
      </x:c>
      <x:c r="D80" s="3" t="str">
        <x:v>Cable glands, junction terminals, DIN carriers and breather</x:v>
      </x:c>
      <x:c r="E80" s="12" t="n">
        <x:v>1</x:v>
      </x:c>
      <x:c r="F80" s="12" t="str">
        <x:v>lot</x:v>
      </x:c>
      <x:c r="G80" s="12" t="n">
        <x:v>1</x:v>
      </x:c>
      <x:c r="H80" s="10"/>
      <x:c r="I80" s="12" t="n">
        <x:f>ROUNDUP(E80/G80,0)</x:f>
        <x:v>1</x:v>
      </x:c>
      <x:c r="J80" s="11" t="str">
        <x:f>IF(H80="","",I80*H80)</x:f>
      </x:c>
      <x:c r="K80" s="12" t="n">
        <x:v>1</x:v>
      </x:c>
      <x:c r="L80" s="12" t="n">
        <x:f>ROUNDUP(K80/G80,0)</x:f>
        <x:v>1</x:v>
      </x:c>
      <x:c r="M80" s="11" t="str">
        <x:f>IF(H80="","",L80*H80)</x:f>
      </x:c>
      <x:c r="N80" s="2" t="str">
        <x:v>Select exact size</x:v>
      </x:c>
      <x:c r="O80" s="2" t="e">
        <x:f>HYPERLINK("https://www.mcmaster.com/products/cable-glands/","https://www.mcmaster.com/products/cable-glands/")</x:f>
        <x:v>HYPERLINK is not implemented. linkLocation=https://www.mcmaster.com/products/cable-glands/, friendlyName=https://www.mcmaster.com/products/cable-glands/</x:v>
      </x:c>
      <x:c r="P80" s="2" t="str"/>
      <x:c r="Q80" s="3" t="str">
        <x:v>Purchased compression glands matched to actual cable OD; shielded service connectors and drip loops. Breather/heat path must preserve weather rating.</x:v>
      </x:c>
    </x:row>
    <x:row r="81" ht="64" customHeight="1">
      <x:c r="B81" s="2" t="str">
        <x:v>B04</x:v>
      </x:c>
      <x:c r="C81" s="2" t="str">
        <x:v>Enclosures</x:v>
      </x:c>
      <x:c r="D81" s="3" t="str">
        <x:v>Flexible motor wire, sensor cable and ferrules</x:v>
      </x:c>
      <x:c r="E81" s="12" t="n">
        <x:v>1</x:v>
      </x:c>
      <x:c r="F81" s="12" t="str">
        <x:v>lot</x:v>
      </x:c>
      <x:c r="G81" s="12" t="n">
        <x:v>1</x:v>
      </x:c>
      <x:c r="H81" s="10"/>
      <x:c r="I81" s="12" t="n">
        <x:f>ROUNDUP(E81/G81,0)</x:f>
        <x:v>1</x:v>
      </x:c>
      <x:c r="J81" s="11" t="str">
        <x:f>IF(H81="","",I81*H81)</x:f>
      </x:c>
      <x:c r="K81" s="12" t="n">
        <x:v>1</x:v>
      </x:c>
      <x:c r="L81" s="12" t="n">
        <x:f>ROUNDUP(K81/G81,0)</x:f>
        <x:v>1</x:v>
      </x:c>
      <x:c r="M81" s="11" t="str">
        <x:f>IF(H81="","",L81*H81)</x:f>
      </x:c>
      <x:c r="N81" s="2" t="str">
        <x:v>Select exact size</x:v>
      </x:c>
      <x:c r="O81" s="2" t="e">
        <x:f>HYPERLINK("https://www.amazon.com/s?k=flexible%20shielded%20stepper%20cable%204%20core%2020%20awg","https://www.amazon.com/s?k=flexible%20shielded%20stepper%20cable%204%20core%2020%20awg")</x:f>
        <x:v>HYPERLINK is not implemented. linkLocation=https://www.amazon.com/s?k=flexible%20shielded%20stepper%20cable%204%20core%2020%20awg, friendlyName=https://www.amazon.com/s?k=flexible%20shielded%20stepper%20cable%204%20core%2020%20awg</x:v>
      </x:c>
      <x:c r="P81" s="2" t="str"/>
      <x:c r="Q81" s="3" t="str">
        <x:v>Planning 100m motor wire+100m sensor cable; actual cut list pending harness routing. Drag-chain-rated moving sections, separation from motor power and filtering for long sensor leads.</x:v>
      </x:c>
    </x:row>
    <x:row r="82" ht="64" customHeight="1">
      <x:c r="B82" s="2" t="str">
        <x:v>B05</x:v>
      </x:c>
      <x:c r="C82" s="2" t="str">
        <x:v>Enclosures</x:v>
      </x:c>
      <x:c r="D82" s="3" t="str">
        <x:v>Protective loom, heat shrink and removable connectors</x:v>
      </x:c>
      <x:c r="E82" s="12" t="n">
        <x:v>1</x:v>
      </x:c>
      <x:c r="F82" s="12" t="str">
        <x:v>lot</x:v>
      </x:c>
      <x:c r="G82" s="12" t="n">
        <x:v>1</x:v>
      </x:c>
      <x:c r="H82" s="10"/>
      <x:c r="I82" s="12" t="n">
        <x:f>ROUNDUP(E82/G82,0)</x:f>
        <x:v>1</x:v>
      </x:c>
      <x:c r="J82" s="11" t="str">
        <x:f>IF(H82="","",I82*H82)</x:f>
      </x:c>
      <x:c r="K82" s="12" t="n">
        <x:v>1</x:v>
      </x:c>
      <x:c r="L82" s="12" t="n">
        <x:f>ROUNDUP(K82/G82,0)</x:f>
        <x:v>1</x:v>
      </x:c>
      <x:c r="M82" s="11" t="str">
        <x:f>IF(H82="","",L82*H82)</x:f>
      </x:c>
      <x:c r="N82" s="2" t="str">
        <x:v>Select exact size</x:v>
      </x:c>
      <x:c r="O82" s="2" t="e">
        <x:f>HYPERLINK("https://www.amazon.com/s?k=waterproof%20connector%20ferrule%20heat%20shrink%20kit","https://www.amazon.com/s?k=waterproof%20connector%20ferrule%20heat%20shrink%20kit")</x:f>
        <x:v>HYPERLINK is not implemented. linkLocation=https://www.amazon.com/s?k=waterproof%20connector%20ferrule%20heat%20shrink%20kit, friendlyName=https://www.amazon.com/s?k=waterproof%20connector%20ferrule%20heat%20shrink%20kit</x:v>
      </x:c>
      <x:c r="P82" s="2" t="str"/>
      <x:c r="Q82" s="3" t="str">
        <x:v>Serviceable connectors per tray and utilities; pin ratings must meet motor current. No dupont jumpers as final motor wiring.</x:v>
      </x:c>
    </x:row>
    <x:row r="83" ht="64" customHeight="1">
      <x:c r="B83" s="2" t="str">
        <x:v>A01</x:v>
      </x:c>
      <x:c r="C83" s="2" t="str">
        <x:v>Fabrication stock</x:v>
      </x:c>
      <x:c r="D83" s="3" t="str">
        <x:v>8560K435 1/4 inch cast acrylic, 24×48 inch</x:v>
      </x:c>
      <x:c r="E83" s="12" t="n">
        <x:v>8</x:v>
      </x:c>
      <x:c r="F83" s="12" t="str">
        <x:v>sheets</x:v>
      </x:c>
      <x:c r="G83" s="12" t="n">
        <x:v>1</x:v>
      </x:c>
      <x:c r="H83" s="10" t="n">
        <x:v>145.74</x:v>
      </x:c>
      <x:c r="I83" s="12" t="n">
        <x:f>ROUNDUP(E83/G83,0)</x:f>
        <x:v>8</x:v>
      </x:c>
      <x:c r="J83" s="11" t="n">
        <x:f>IF(H83="","",I83*H83)</x:f>
        <x:v>1165.92</x:v>
      </x:c>
      <x:c r="K83" s="12" t="n">
        <x:v>1</x:v>
      </x:c>
      <x:c r="L83" s="12" t="n">
        <x:f>ROUNDUP(K83/G83,0)</x:f>
        <x:v>1</x:v>
      </x:c>
      <x:c r="M83" s="11" t="n">
        <x:f>IF(H83="","",L83*H83)</x:f>
        <x:v>145.74</x:v>
      </x:c>
      <x:c r="N83" s="2" t="str">
        <x:v>Catalog selection</x:v>
      </x:c>
      <x:c r="O83" s="2" t="e">
        <x:f>HYPERLINK("https://www.mcmaster.com/8560K435/","https://www.mcmaster.com/8560K435/")</x:f>
        <x:v>HYPERLINK is not implemented. linkLocation=https://www.mcmaster.com/8560K435/, friendlyName=https://www.mcmaster.com/8560K435/</x:v>
      </x:c>
      <x:c r="P83" s="2" t="str"/>
      <x:c r="Q83" s="3" t="str">
        <x:v>Planning area 5.95m²; carriage/guide adapters, gate frames and hatch stiffeners. Quantity allowance, not nested cuts. Nominal 6.35 mm thickness tolerance−1.016/+0.508 mm; measure actual material before slots/spacers. FDA-standard stock per catalogue; finished food-contact assembly still needs cleaning validation.</x:v>
      </x:c>
    </x:row>
    <x:row r="84" ht="64" customHeight="1">
      <x:c r="B84" s="2" t="str">
        <x:v>A02</x:v>
      </x:c>
      <x:c r="C84" s="2" t="str">
        <x:v>Fabrication stock</x:v>
      </x:c>
      <x:c r="D84" s="3" t="str">
        <x:v>8560K262 1/8 inch cast acrylic, 24×48 inch</x:v>
      </x:c>
      <x:c r="E84" s="12" t="n">
        <x:v>40</x:v>
      </x:c>
      <x:c r="F84" s="12" t="str">
        <x:v>sheets</x:v>
      </x:c>
      <x:c r="G84" s="12" t="n">
        <x:v>1</x:v>
      </x:c>
      <x:c r="H84" s="10" t="n">
        <x:v>70.99</x:v>
      </x:c>
      <x:c r="I84" s="12" t="n">
        <x:f>ROUNDUP(E84/G84,0)</x:f>
        <x:v>40</x:v>
      </x:c>
      <x:c r="J84" s="11" t="n">
        <x:f>IF(H84="","",I84*H84)</x:f>
        <x:v>2839.6</x:v>
      </x:c>
      <x:c r="K84" s="12" t="n">
        <x:v>1</x:v>
      </x:c>
      <x:c r="L84" s="12" t="n">
        <x:f>ROUNDUP(K84/G84,0)</x:f>
        <x:v>1</x:v>
      </x:c>
      <x:c r="M84" s="11" t="n">
        <x:f>IF(H84="","",L84*H84)</x:f>
        <x:v>70.99</x:v>
      </x:c>
      <x:c r="N84" s="2" t="str">
        <x:v>Catalog selection</x:v>
      </x:c>
      <x:c r="O84" s="2" t="e">
        <x:f>HYPERLINK("https://www.mcmaster.com/8560K262/","https://www.mcmaster.com/8560K262/")</x:f>
        <x:v>HYPERLINK is not implemented. linkLocation=https://www.mcmaster.com/8560K262/, friendlyName=https://www.mcmaster.com/8560K262/</x:v>
      </x:c>
      <x:c r="P84" s="2" t="str"/>
      <x:c r="Q84" s="3" t="str">
        <x:v>Planning 29.73m² for inner/outer skins, lids, guards and waste; not a nested cut quantity. Modular seams supported by 40 mm rails. Nominal 3.175 mm tolerance−0.635/+0.381 mm; account for actual thickness. FDA-standard stock per catalogue.</x:v>
      </x:c>
    </x:row>
    <x:row r="85" ht="64" customHeight="1">
      <x:c r="B85" s="2" t="str">
        <x:v>A03</x:v>
      </x:c>
      <x:c r="C85" s="2" t="str">
        <x:v>Fabrication stock</x:v>
      </x:c>
      <x:c r="D85" s="3" t="str">
        <x:v>eSUN PETG 1.75 mm black filament, 1 kg</x:v>
      </x:c>
      <x:c r="E85" s="12" t="n">
        <x:v>12</x:v>
      </x:c>
      <x:c r="F85" s="12" t="str">
        <x:v>kg</x:v>
      </x:c>
      <x:c r="G85" s="12" t="n">
        <x:v>1</x:v>
      </x:c>
      <x:c r="H85" s="10" t="n">
        <x:v>13.99</x:v>
      </x:c>
      <x:c r="I85" s="12" t="n">
        <x:f>ROUNDUP(E85/G85,0)</x:f>
        <x:v>12</x:v>
      </x:c>
      <x:c r="J85" s="11" t="n">
        <x:f>IF(H85="","",I85*H85)</x:f>
        <x:v>167.88</x:v>
      </x:c>
      <x:c r="K85" s="12" t="n">
        <x:v>1</x:v>
      </x:c>
      <x:c r="L85" s="12" t="n">
        <x:f>ROUNDUP(K85/G85,0)</x:f>
        <x:v>1</x:v>
      </x:c>
      <x:c r="M85" s="11" t="n">
        <x:f>IF(H85="","",L85*H85)</x:f>
        <x:v>13.99</x:v>
      </x:c>
      <x:c r="N85" s="2" t="str">
        <x:v>Listing confirmed</x:v>
      </x:c>
      <x:c r="O85" s="2" t="e">
        <x:f>HYPERLINK("https://www.amazon.com/dp/B0BN4Y1G2S","https://www.amazon.com/dp/B0BN4Y1G2S")</x:f>
        <x:v>HYPERLINK is not implemented. linkLocation=https://www.amazon.com/dp/B0BN4Y1G2S, friendlyName=https://www.amazon.com/dp/B0BN4Y1G2S</x:v>
      </x:c>
      <x:c r="P85" s="2" t="str"/>
      <x:c r="Q85" s="3" t="str">
        <x:v>Planning allowance for 14 cradles, mounts, guards and failed iterations. Keep printed parts outside direct food surfaces; outdoor UV/creep/temperature tests pending.</x:v>
      </x:c>
    </x:row>
    <x:row r="86" ht="64" customHeight="1">
      <x:c r="B86" s="2" t="str">
        <x:v>A04</x:v>
      </x:c>
      <x:c r="C86" s="2" t="str">
        <x:v>Fabrication stock</x:v>
      </x:c>
      <x:c r="D86" s="3" t="str">
        <x:v>Purchased inserts, spacers, dowel pins and springs</x:v>
      </x:c>
      <x:c r="E86" s="12" t="n">
        <x:v>1</x:v>
      </x:c>
      <x:c r="F86" s="12" t="str">
        <x:v>lot</x:v>
      </x:c>
      <x:c r="G86" s="12" t="n">
        <x:v>1</x:v>
      </x:c>
      <x:c r="H86" s="10"/>
      <x:c r="I86" s="12" t="n">
        <x:f>ROUNDUP(E86/G86,0)</x:f>
        <x:v>1</x:v>
      </x:c>
      <x:c r="J86" s="11" t="str">
        <x:f>IF(H86="","",I86*H86)</x:f>
      </x:c>
      <x:c r="K86" s="12" t="n">
        <x:v>1</x:v>
      </x:c>
      <x:c r="L86" s="12" t="n">
        <x:f>ROUNDUP(K86/G86,0)</x:f>
        <x:v>1</x:v>
      </x:c>
      <x:c r="M86" s="11" t="str">
        <x:f>IF(H86="","",L86*H86)</x:f>
      </x:c>
      <x:c r="N86" s="2" t="str">
        <x:v>Select exact size</x:v>
      </x:c>
      <x:c r="O86" s="2" t="e">
        <x:f>HYPERLINK("https://www.mcmaster.com/products/threaded-inserts/","https://www.mcmaster.com/products/threaded-inserts/")</x:f>
        <x:v>HYPERLINK is not implemented. linkLocation=https://www.mcmaster.com/products/threaded-inserts/, friendlyName=https://www.mcmaster.com/products/threaded-inserts/</x:v>
      </x:c>
      <x:c r="P86" s="2" t="str"/>
      <x:c r="Q86" s="3" t="str">
        <x:v>Exact counts follow CAD. Acrylic carries clamped bearing loads with washers/spacers; no highly stressed threaded acrylic joints.</x:v>
      </x:c>
    </x:row>
    <x:row r="87" ht="64" customHeight="1">
      <x:c r="B87" s="2" t="str">
        <x:v>C01</x:v>
      </x:c>
      <x:c r="C87" s="2" t="str">
        <x:v>Cooling</x:v>
      </x:c>
      <x:c r="D87" s="3" t="str">
        <x:v>Genuine CoolBot Gen6 controller</x:v>
      </x:c>
      <x:c r="E87" s="12" t="n">
        <x:v>1</x:v>
      </x:c>
      <x:c r="F87" s="12" t="str">
        <x:v>each</x:v>
      </x:c>
      <x:c r="G87" s="12" t="n">
        <x:v>1</x:v>
      </x:c>
      <x:c r="H87" s="10"/>
      <x:c r="I87" s="12" t="n">
        <x:f>ROUNDUP(E87/G87,0)</x:f>
        <x:v>1</x:v>
      </x:c>
      <x:c r="J87" s="11" t="str">
        <x:f>IF(H87="","",I87*H87)</x:f>
      </x:c>
      <x:c r="K87" s="12" t="n">
        <x:v>0</x:v>
      </x:c>
      <x:c r="L87" s="12" t="n">
        <x:f>ROUNDUP(K87/G87,0)</x:f>
        <x:v>0</x:v>
      </x:c>
      <x:c r="M87" s="11" t="str">
        <x:f>IF(H87="","",L87*H87)</x:f>
      </x:c>
      <x:c r="N87" s="2" t="str">
        <x:v>Cooling hold</x:v>
      </x:c>
      <x:c r="O87" s="2" t="e">
        <x:f>HYPERLINK("https://www.amazon.com/dp/B07T32HF9H","https://www.amazon.com/dp/B07T32HF9H")</x:f>
        <x:v>HYPERLINK is not implemented. linkLocation=https://www.amazon.com/dp/B07T32HF9H, friendlyName=https://www.amazon.com/dp/B07T32HF9H</x:v>
      </x:c>
      <x:c r="P87" s="2" t="e">
        <x:f>HYPERLINK("https://www.storeitcold.com/product/coolbot/","https://www.storeitcold.com/product/coolbot/")</x:f>
        <x:v>HYPERLINK is not implemented. linkLocation=https://www.storeitcold.com/product/coolbot/, friendlyName=https://www.storeitcold.com/product/coolbot/</x:v>
      </x:c>
      <x:c r="Q87" s="3" t="str">
        <x:v>Amazon listing confirmed, no displayed price; manufacturer $399 reference is NOT Amazon quote. Confirm exact AC compatibility and authentic seller. No generic-controller substitution.</x:v>
      </x:c>
    </x:row>
    <x:row r="88" ht="64" customHeight="1">
      <x:c r="B88" s="2" t="str">
        <x:v>C02</x:v>
      </x:c>
      <x:c r="C88" s="2" t="str">
        <x:v>Cooling</x:v>
      </x:c>
      <x:c r="D88" s="3" t="str">
        <x:v>LG LW8024R 8000 BTU window AC</x:v>
      </x:c>
      <x:c r="E88" s="12" t="n">
        <x:v>1</x:v>
      </x:c>
      <x:c r="F88" s="12" t="str">
        <x:v>each</x:v>
      </x:c>
      <x:c r="G88" s="12" t="n">
        <x:v>1</x:v>
      </x:c>
      <x:c r="H88" s="10" t="n">
        <x:v>295.47</x:v>
      </x:c>
      <x:c r="I88" s="12" t="n">
        <x:f>ROUNDUP(E88/G88,0)</x:f>
        <x:v>1</x:v>
      </x:c>
      <x:c r="J88" s="11" t="n">
        <x:f>IF(H88="","",I88*H88)</x:f>
        <x:v>295.47</x:v>
      </x:c>
      <x:c r="K88" s="12" t="n">
        <x:v>0</x:v>
      </x:c>
      <x:c r="L88" s="12" t="n">
        <x:f>ROUNDUP(K88/G88,0)</x:f>
        <x:v>0</x:v>
      </x:c>
      <x:c r="M88" s="11" t="n">
        <x:f>IF(H88="","",L88*H88)</x:f>
        <x:v>0</x:v>
      </x:c>
      <x:c r="N88" s="2" t="str">
        <x:v>Cooling hold</x:v>
      </x:c>
      <x:c r="O88" s="2" t="e">
        <x:f>HYPERLINK("https://www.amazon.com/dp/B0D9HRZ91W","https://www.amazon.com/dp/B0D9HRZ91W")</x:f>
        <x:v>HYPERLINK is not implemented. linkLocation=https://www.amazon.com/dp/B0D9HRZ91W, friendlyName=https://www.amazon.com/dp/B0D9HRZ91W</x:v>
      </x:c>
      <x:c r="P88" s="2" t="e">
        <x:f>HYPERLINK("https://www.lg.com/us/air-conditioners/lg-lw8024r-window-air-conditioner","https://www.lg.com/us/air-conditioners/lg-lw8024r-window-air-conditioner")</x:f>
        <x:v>HYPERLINK is not implemented. linkLocation=https://www.lg.com/us/air-conditioners/lg-lw8024r-window-air-conditioner, friendlyName=https://www.lg.com/us/air-conditioners/lg-lw8024r-window-air-conditioner</x:v>
      </x:c>
      <x:c r="Q88" s="3" t="str">
        <x:v>Exact listing verified; digital controls and auto-restart. Confirm model withCoolBot compatibility guide before ordering. 492W×421D×313Hmm nominal body, exterior projection/vent clearances and separate support required.</x:v>
      </x:c>
    </x:row>
    <x:row r="89" ht="64" customHeight="1">
      <x:c r="B89" s="2" t="str">
        <x:v>C03</x:v>
      </x:c>
      <x:c r="C89" s="2" t="str">
        <x:v>Cooling</x:v>
      </x:c>
      <x:c r="D89" s="3" t="str">
        <x:v>Closed-cell insulation sufficient forR25</x:v>
      </x:c>
      <x:c r="E89" s="12" t="n">
        <x:v>14</x:v>
      </x:c>
      <x:c r="F89" s="12" t="str">
        <x:v>m²</x:v>
      </x:c>
      <x:c r="G89" s="12" t="n">
        <x:v>1</x:v>
      </x:c>
      <x:c r="H89" s="10"/>
      <x:c r="I89" s="12" t="n">
        <x:f>ROUNDUP(E89/G89,0)</x:f>
        <x:v>14</x:v>
      </x:c>
      <x:c r="J89" s="11" t="str">
        <x:f>IF(H89="","",I89*H89)</x:f>
      </x:c>
      <x:c r="K89" s="12" t="n">
        <x:v>0</x:v>
      </x:c>
      <x:c r="L89" s="12" t="n">
        <x:f>ROUNDUP(K89/G89,0)</x:f>
        <x:v>0</x:v>
      </x:c>
      <x:c r="M89" s="11" t="str">
        <x:f>IF(H89="","",L89*H89)</x:f>
      </x:c>
      <x:c r="N89" s="2" t="str">
        <x:v>Cooling hold</x:v>
      </x:c>
      <x:c r="O89" s="2" t="e">
        <x:f>HYPERLINK("https://www.amazon.com/s?k=polyisocyanurate%20rigid%20foam%20insulation%20board","https://www.amazon.com/s?k=polyisocyanurate%20rigid%20foam%20insulation%20board")</x:f>
        <x:v>HYPERLINK is not implemented. linkLocation=https://www.amazon.com/s?k=polyisocyanurate%20rigid%20foam%20insulation%20board, friendlyName=https://www.amazon.com/s?k=polyisocyanurate%20rigid%20foam%20insulation%20board</x:v>
      </x:c>
      <x:c r="P89" s="2" t="e">
        <x:f>HYPERLINK("https://www.storeitcold.com/wp-content/uploads/2025/12/Insulation-Guide.pdf","https://www.storeitcold.com/wp-content/uploads/2025/12/Insulation-Guide.pdf")</x:f>
        <x:v>HYPERLINK is not implemented. linkLocation=https://www.storeitcold.com/wp-content/uploads/2025/12/Insulation-Guide.pdf, friendlyName=https://www.storeitcold.com/wp-content/uploads/2025/12/Insulation-Guide.pdf</x:v>
      </x:c>
      <x:c r="Q89" s="3" t="str">
        <x:v>Purchased boards only. Manufacturer recommendsR25 all six faces.50 mm model shell cannot be assumed adequate.≥100 mm is preliminary, material-dependent; would change frame/internal layout. No foam laser cutting.</x:v>
      </x:c>
    </x:row>
    <x:row r="90" ht="64" customHeight="1">
      <x:c r="B90" s="2" t="str">
        <x:v>C04</x:v>
      </x:c>
      <x:c r="C90" s="2" t="str">
        <x:v>Cooling</x:v>
      </x:c>
      <x:c r="D90" s="3" t="str">
        <x:v>Foil vapor-barrier tape and compatible sealant</x:v>
      </x:c>
      <x:c r="E90" s="12" t="n">
        <x:v>1</x:v>
      </x:c>
      <x:c r="F90" s="12" t="str">
        <x:v>lot</x:v>
      </x:c>
      <x:c r="G90" s="12" t="n">
        <x:v>1</x:v>
      </x:c>
      <x:c r="H90" s="10"/>
      <x:c r="I90" s="12" t="n">
        <x:f>ROUNDUP(E90/G90,0)</x:f>
        <x:v>1</x:v>
      </x:c>
      <x:c r="J90" s="11" t="str">
        <x:f>IF(H90="","",I90*H90)</x:f>
      </x:c>
      <x:c r="K90" s="12" t="n">
        <x:v>0</x:v>
      </x:c>
      <x:c r="L90" s="12" t="n">
        <x:f>ROUNDUP(K90/G90,0)</x:f>
        <x:v>0</x:v>
      </x:c>
      <x:c r="M90" s="11" t="str">
        <x:f>IF(H90="","",L90*H90)</x:f>
      </x:c>
      <x:c r="N90" s="2" t="str">
        <x:v>Select exact size</x:v>
      </x:c>
      <x:c r="O90" s="2" t="e">
        <x:f>HYPERLINK("https://www.amazon.com/s?k=foil%20vapor%20barrier%20tape%20cooler%20sealant%20food%20safe","https://www.amazon.com/s?k=foil%20vapor%20barrier%20tape%20cooler%20sealant%20food%20safe")</x:f>
        <x:v>HYPERLINK is not implemented. linkLocation=https://www.amazon.com/s?k=foil%20vapor%20barrier%20tape%20cooler%20sealant%20food%20safe, friendlyName=https://www.amazon.com/s?k=foil%20vapor%20barrier%20tape%20cooler%20sealant%20food%20safe</x:v>
      </x:c>
      <x:c r="P90" s="2" t="str"/>
      <x:c r="Q90" s="3" t="str">
        <x:v>Seal warm-side vapor barrier, panel seams and removable access seals. Adhesive suitability for chosen foam/acrylic and condensation must be checked.</x:v>
      </x:c>
    </x:row>
    <x:row r="91" ht="64" customHeight="1">
      <x:c r="B91" s="2" t="str">
        <x:v>C05</x:v>
      </x:c>
      <x:c r="C91" s="2" t="str">
        <x:v>Cooling</x:v>
      </x:c>
      <x:c r="D91" s="3" t="str">
        <x:v>AC purchased support brackets, weather hood and guards</x:v>
      </x:c>
      <x:c r="E91" s="12" t="n">
        <x:v>1</x:v>
      </x:c>
      <x:c r="F91" s="12" t="str">
        <x:v>set</x:v>
      </x:c>
      <x:c r="G91" s="12" t="n">
        <x:v>1</x:v>
      </x:c>
      <x:c r="H91" s="10"/>
      <x:c r="I91" s="12" t="n">
        <x:f>ROUNDUP(E91/G91,0)</x:f>
        <x:v>1</x:v>
      </x:c>
      <x:c r="J91" s="11" t="str">
        <x:f>IF(H91="","",I91*H91)</x:f>
      </x:c>
      <x:c r="K91" s="12" t="n">
        <x:v>0</x:v>
      </x:c>
      <x:c r="L91" s="12" t="n">
        <x:f>ROUNDUP(K91/G91,0)</x:f>
        <x:v>0</x:v>
      </x:c>
      <x:c r="M91" s="11" t="str">
        <x:f>IF(H91="","",L91*H91)</x:f>
      </x:c>
      <x:c r="N91" s="2" t="str">
        <x:v>Cooling hold</x:v>
      </x:c>
      <x:c r="O91" s="2" t="e">
        <x:f>HYPERLINK("https://www.amazon.com/s?k=window%20air%20conditioner%20support%20bracket%20outdoor%20rain%20cover","https://www.amazon.com/s?k=window%20air%20conditioner%20support%20bracket%20outdoor%20rain%20cover")</x:f>
        <x:v>HYPERLINK is not implemented. linkLocation=https://www.amazon.com/s?k=window%20air%20conditioner%20support%20bracket%20outdoor%20rain%20cover, friendlyName=https://www.amazon.com/s?k=window%20air%20conditioner%20support%20bracket%20outdoor%20rain%20cover</x:v>
      </x:c>
      <x:c r="P91" s="2" t="str"/>
      <x:c r="Q91" s="3" t="str">
        <x:v>Do not obstruct condenser intake/exhaust. No refrigerant-line work or appliance-shell drilling. Need frame-mounted support and drainage plan.</x:v>
      </x:c>
    </x:row>
    <x:row r="92" ht="64" customHeight="1">
      <x:c r="B92" s="2" t="str">
        <x:v>C06</x:v>
      </x:c>
      <x:c r="C92" s="2" t="str">
        <x:v>Cooling</x:v>
      </x:c>
      <x:c r="D92" s="3" t="str">
        <x:v>Condensate drain tray, hose and trapped outlet</x:v>
      </x:c>
      <x:c r="E92" s="12" t="n">
        <x:v>1</x:v>
      </x:c>
      <x:c r="F92" s="12" t="str">
        <x:v>set</x:v>
      </x:c>
      <x:c r="G92" s="12" t="n">
        <x:v>1</x:v>
      </x:c>
      <x:c r="H92" s="10"/>
      <x:c r="I92" s="12" t="n">
        <x:f>ROUNDUP(E92/G92,0)</x:f>
        <x:v>1</x:v>
      </x:c>
      <x:c r="J92" s="11" t="str">
        <x:f>IF(H92="","",I92*H92)</x:f>
      </x:c>
      <x:c r="K92" s="12" t="n">
        <x:v>0</x:v>
      </x:c>
      <x:c r="L92" s="12" t="n">
        <x:f>ROUNDUP(K92/G92,0)</x:f>
        <x:v>0</x:v>
      </x:c>
      <x:c r="M92" s="11" t="str">
        <x:f>IF(H92="","",L92*H92)</x:f>
      </x:c>
      <x:c r="N92" s="2" t="str">
        <x:v>Select exact size</x:v>
      </x:c>
      <x:c r="O92" s="2" t="e">
        <x:f>HYPERLINK("https://www.mcmaster.com/products/drain-pans/","https://www.mcmaster.com/products/drain-pans/")</x:f>
        <x:v>HYPERLINK is not implemented. linkLocation=https://www.mcmaster.com/products/drain-pans/, friendlyName=https://www.mcmaster.com/products/drain-pans/</x:v>
      </x:c>
      <x:c r="P92" s="2" t="str"/>
      <x:c r="Q92" s="3" t="str">
        <x:v>Keep condensate separate from water dose/food; bought tray or laser-cut supported shell. Drain must not create pest entry or wet electrical path.</x:v>
      </x:c>
    </x:row>
    <x:row r="93" ht="64" customHeight="1">
      <x:c r="B93" s="2" t="str">
        <x:v>C07</x:v>
      </x:c>
      <x:c r="C93" s="2" t="str">
        <x:v>Cooling</x:v>
      </x:c>
      <x:c r="D93" s="3" t="str">
        <x:v>Cold air circulation fans and protected wiring</x:v>
      </x:c>
      <x:c r="E93" s="12" t="n">
        <x:v>2</x:v>
      </x:c>
      <x:c r="F93" s="12" t="str">
        <x:v>each</x:v>
      </x:c>
      <x:c r="G93" s="12" t="n">
        <x:v>1</x:v>
      </x:c>
      <x:c r="H93" s="10"/>
      <x:c r="I93" s="12" t="n">
        <x:f>ROUNDUP(E93/G93,0)</x:f>
        <x:v>2</x:v>
      </x:c>
      <x:c r="J93" s="11" t="str">
        <x:f>IF(H93="","",I93*H93)</x:f>
      </x:c>
      <x:c r="K93" s="12" t="n">
        <x:v>0</x:v>
      </x:c>
      <x:c r="L93" s="12" t="n">
        <x:f>ROUNDUP(K93/G93,0)</x:f>
        <x:v>0</x:v>
      </x:c>
      <x:c r="M93" s="11" t="str">
        <x:f>IF(H93="","",L93*H93)</x:f>
      </x:c>
      <x:c r="N93" s="2" t="str">
        <x:v>Select exact size</x:v>
      </x:c>
      <x:c r="O93" s="2" t="e">
        <x:f>HYPERLINK("https://www.amazon.com/s?k=24V%20waterproof%20brushless%20fan%20IP67","https://www.amazon.com/s?k=24V%20waterproof%20brushless%20fan%20IP67")</x:f>
        <x:v>HYPERLINK is not implemented. linkLocation=https://www.amazon.com/s?k=24V%20waterproof%20brushless%20fan%20IP67, friendlyName=https://www.amazon.com/s?k=24V%20waterproof%20brushless%20fan%20IP67</x:v>
      </x:c>
      <x:c r="P93" s="2" t="str"/>
      <x:c r="Q93" s="3" t="str">
        <x:v>Estimate only; select after cooling airflow layout. Food-zone fan guards need cleanable purchased/printed surfaces. Fan heat not yet in thermal estimate.</x:v>
      </x:c>
    </x:row>
  </x:sheetData>
  <x:conditionalFormatting sqref="N12:N93">
    <x:cfRule type="containsText" dxfId="0" priority="1" operator="containsText" text="hold"/>
  </x:conditionalFormatting>
  <x:pageMargins left="0.7" right="0.7" top="0.75" bottom="0.75" header="0.3" footer="0.3"/>
  <x:tableParts count="1">
    <x:tablePart xmlns:r="http://schemas.openxmlformats.org/officeDocument/2006/relationships" r:id="R2da71d6339a34d34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37.779998779296875" hidden="0" customWidth="1"/>
    <x:col min="3" max="3" width="12.779999732971191" hidden="0" customWidth="1"/>
    <x:col min="4" max="4" width="12.779999732971191" hidden="0" customWidth="1"/>
    <x:col min="5" max="5" width="12.779999732971191" hidden="0" customWidth="1"/>
    <x:col min="6" max="6" width="12.779999732971191" hidden="0" customWidth="1"/>
  </x:cols>
  <x:sheetData>
    <x:row r="2">
      <x:c r="B2" s="4" t="str">
        <x:v>40mm McMaster frame cuts</x:v>
      </x:c>
      <x:c r="C2" s="1"/>
      <x:c r="D2" s="1"/>
      <x:c r="E2" s="1"/>
      <x:c r="F2" s="1"/>
    </x:row>
    <x:row r="3">
      <x:c r="B3" s="1" t="str">
        <x:v>6575N406. Finished lengths; recheck after refrigeration and motor integration.</x:v>
      </x:c>
      <x:c r="C3" s="1"/>
      <x:c r="D3" s="1"/>
      <x:c r="E3" s="1"/>
      <x:c r="F3" s="1"/>
    </x:row>
    <x:row r="4">
      <x:c r="B4" s="1"/>
      <x:c r="C4" s="1"/>
      <x:c r="D4" s="1"/>
      <x:c r="E4" s="1"/>
      <x:c r="F4" s="1"/>
    </x:row>
    <x:row r="5" ht="30" customHeight="1">
      <x:c r="B5" s="17" t="str">
        <x:v>Member</x:v>
      </x:c>
      <x:c r="C5" s="17" t="str">
        <x:v>Count</x:v>
      </x:c>
      <x:c r="D5" s="17" t="str">
        <x:v>Length mm</x:v>
      </x:c>
      <x:c r="E5" s="17" t="str">
        <x:v>Finished m</x:v>
      </x:c>
      <x:c r="F5" s="17" t="str">
        <x:v>Rail cost USD</x:v>
      </x:c>
    </x:row>
    <x:row r="6" ht="30" customHeight="1">
      <x:c r="B6" s="1" t="str">
        <x:v>Outer vertical post</x:v>
      </x:c>
      <x:c r="C6" s="1" t="n">
        <x:v>4</x:v>
      </x:c>
      <x:c r="D6" s="1" t="n">
        <x:v>2490</x:v>
      </x:c>
      <x:c r="E6" s="18" t="n">
        <x:f>C6*D6/1000</x:f>
        <x:v>9.96</x:v>
      </x:c>
      <x:c r="F6" s="13" t="n">
        <x:f>E6*40</x:f>
        <x:v>398.40000000000003</x:v>
      </x:c>
    </x:row>
    <x:row r="7" ht="30" customHeight="1">
      <x:c r="B7" s="1" t="str">
        <x:v>Outer width crossmember</x:v>
      </x:c>
      <x:c r="C7" s="1" t="n">
        <x:v>6</x:v>
      </x:c>
      <x:c r="D7" s="1" t="n">
        <x:v>950</x:v>
      </x:c>
      <x:c r="E7" s="18" t="n">
        <x:f>C7*D7/1000</x:f>
        <x:v>5.7</x:v>
      </x:c>
      <x:c r="F7" s="13" t="n">
        <x:f>E7*40</x:f>
        <x:v>228</x:v>
      </x:c>
    </x:row>
    <x:row r="8" ht="30" customHeight="1">
      <x:c r="B8" s="1" t="str">
        <x:v>Outer depth crossmember</x:v>
      </x:c>
      <x:c r="C8" s="1" t="n">
        <x:v>6</x:v>
      </x:c>
      <x:c r="D8" s="1" t="n">
        <x:v>1310</x:v>
      </x:c>
      <x:c r="E8" s="18" t="n">
        <x:f>C8*D8/1000</x:f>
        <x:v>7.86</x:v>
      </x:c>
      <x:c r="F8" s="13" t="n">
        <x:f>E8*40</x:f>
        <x:v>314.40000000000003</x:v>
      </x:c>
    </x:row>
    <x:row r="9" ht="30" customHeight="1">
      <x:c r="B9" s="1" t="str">
        <x:v>Cold rack vertical post</x:v>
      </x:c>
      <x:c r="C9" s="1" t="n">
        <x:v>4</x:v>
      </x:c>
      <x:c r="D9" s="1" t="n">
        <x:v>1240</x:v>
      </x:c>
      <x:c r="E9" s="18" t="n">
        <x:f>C9*D9/1000</x:f>
        <x:v>4.96</x:v>
      </x:c>
      <x:c r="F9" s="13" t="n">
        <x:f>E9*40</x:f>
        <x:v>198.4</x:v>
      </x:c>
    </x:row>
    <x:row r="10" ht="30" customHeight="1">
      <x:c r="B10" s="1" t="str">
        <x:v>Cantilever guide-support rail</x:v>
      </x:c>
      <x:c r="C10" s="1" t="n">
        <x:v>21</x:v>
      </x:c>
      <x:c r="D10" s="1" t="n">
        <x:v>800</x:v>
      </x:c>
      <x:c r="E10" s="18" t="n">
        <x:f>C10*D10/1000</x:f>
        <x:v>16.8</x:v>
      </x:c>
      <x:c r="F10" s="13" t="n">
        <x:f>E10*40</x:f>
        <x:v>672</x:v>
      </x:c>
    </x:row>
    <x:row r="11" ht="30" customHeight="1">
      <x:c r="B11" s="1" t="str">
        <x:v>Rack crossmember</x:v>
      </x:c>
      <x:c r="C11" s="1" t="n">
        <x:v>14</x:v>
      </x:c>
      <x:c r="D11" s="1" t="n">
        <x:v>810</x:v>
      </x:c>
      <x:c r="E11" s="18" t="n">
        <x:f>C11*D11/1000</x:f>
        <x:v>11.34</x:v>
      </x:c>
      <x:c r="F11" s="13" t="n">
        <x:f>E11*40</x:f>
        <x:v>453.6</x:v>
      </x:c>
    </x:row>
    <x:row r="12" ht="30" customHeight="1">
      <x:c r="B12" s="1"/>
      <x:c r="C12" s="1"/>
      <x:c r="D12" s="1"/>
      <x:c r="E12" s="18"/>
      <x:c r="F12" s="13"/>
    </x:row>
    <x:row r="13" ht="30" customHeight="1">
      <x:c r="B13" s="1" t="str">
        <x:v>Total finished length / rail cost</x:v>
      </x:c>
      <x:c r="C13" s="1"/>
      <x:c r="D13" s="1"/>
      <x:c r="E13" s="18" t="n">
        <x:f>SUM(E6:E11)</x:f>
        <x:v>56.620000000000005</x:v>
      </x:c>
      <x:c r="F13" s="13" t="n">
        <x:f>SUM(F6:F11)</x:f>
        <x:v>2264.8</x:v>
      </x:c>
    </x:row>
    <x:row r="14">
      <x:c r="B14" s="1"/>
      <x:c r="C14" s="1"/>
      <x:c r="D14" s="1"/>
      <x:c r="E14" s="1"/>
      <x:c r="F14" s="1"/>
    </x:row>
    <x:row r="15">
      <x:c r="B15" s="1" t="str">
        <x:v>Direct cut-to-length quote uses$0.40/cm for every full-build member. Does not count kerf as purchased finished length.</x:v>
      </x:c>
      <x:c r="C15" s="1"/>
      <x:c r="D15" s="1"/>
      <x:c r="E15" s="1"/>
      <x:c r="F15" s="1"/>
    </x:row>
    <x:row r="16">
      <x:c r="B16" s="1" t="str">
        <x:v>Prototype fixture:4×800mm +4×500mm +4×400mm =6.8m; short lengths$0.48/cm; rail cost$300.80.</x:v>
      </x:c>
      <x:c r="C16" s="1"/>
      <x:c r="D16" s="1"/>
      <x:c r="E16" s="1"/>
      <x:c r="F16" s="1"/>
    </x:row>
    <x:row r="17">
      <x:c r="B17" s="1"/>
      <x:c r="C17" s="1"/>
      <x:c r="D17" s="1"/>
      <x:c r="E17" s="1"/>
      <x:c r="F17" s="1"/>
    </x:row>
    <x:row r="18">
      <x:c r="B18" s="1" t="str">
        <x:v>Source: https://www.mcmaster.com/6575N406/ .84corner brackets include mounting hardware.</x:v>
      </x:c>
      <x:c r="C18" s="1"/>
      <x:c r="D18" s="1"/>
      <x:c r="E18" s="1"/>
      <x:c r="F18" s="1"/>
    </x:row>
  </x:sheetData>
  <x:pageMargins left="0.7" right="0.7" top="0.75" bottom="0.75" header="0.3" footer="0.3"/>
</x:worksheet>
</file>